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0730" windowHeight="10545" activeTab="0"/>
  </bookViews>
  <sheets>
    <sheet name="VLS™" sheetId="1" r:id="rId1"/>
    <sheet name="Ball Speed" sheetId="2" r:id="rId2"/>
    <sheet name="Disclaimer" sheetId="3" r:id="rId3"/>
  </sheets>
  <definedNames>
    <definedName name="_xlnm.Print_Area" localSheetId="0">'VLS™'!$A$1:$G$40</definedName>
  </definedNames>
  <calcPr fullCalcOnLoad="1"/>
</workbook>
</file>

<file path=xl/sharedStrings.xml><?xml version="1.0" encoding="utf-8"?>
<sst xmlns="http://schemas.openxmlformats.org/spreadsheetml/2006/main" count="171" uniqueCount="96">
  <si>
    <t>Ball Speed</t>
  </si>
  <si>
    <t>Axis Rotation</t>
  </si>
  <si>
    <t>Length</t>
  </si>
  <si>
    <t>Volume</t>
  </si>
  <si>
    <t>Reaction</t>
  </si>
  <si>
    <t>Early</t>
  </si>
  <si>
    <t>Late</t>
  </si>
  <si>
    <t>Light</t>
  </si>
  <si>
    <t>Medium</t>
  </si>
  <si>
    <t>Heavy</t>
  </si>
  <si>
    <t>Rev Rate</t>
  </si>
  <si>
    <t>Differential</t>
  </si>
  <si>
    <t>PSA</t>
  </si>
  <si>
    <t>Pin to PAP</t>
  </si>
  <si>
    <t>PSA to PAP</t>
  </si>
  <si>
    <t>Pin Buffer</t>
  </si>
  <si>
    <t>=</t>
  </si>
  <si>
    <t>x</t>
  </si>
  <si>
    <t>Ratio</t>
  </si>
  <si>
    <t>Transition Length</t>
  </si>
  <si>
    <t>Pattern Length</t>
  </si>
  <si>
    <t>Very Short</t>
  </si>
  <si>
    <t>Short</t>
  </si>
  <si>
    <t>Medium-Short</t>
  </si>
  <si>
    <t>Medium-Long</t>
  </si>
  <si>
    <t>Long</t>
  </si>
  <si>
    <t>Very Long</t>
  </si>
  <si>
    <t>Desired Reaction</t>
  </si>
  <si>
    <t>Middle</t>
  </si>
  <si>
    <t>PSA Distance Modifiers</t>
  </si>
  <si>
    <t>Axis Tilt</t>
  </si>
  <si>
    <t>Up the Back</t>
  </si>
  <si>
    <t>In Between</t>
  </si>
  <si>
    <t>Off the Side</t>
  </si>
  <si>
    <t>Low</t>
  </si>
  <si>
    <t>High</t>
  </si>
  <si>
    <t>Average</t>
  </si>
  <si>
    <t>Pin Buffer Variables</t>
  </si>
  <si>
    <t>Bowler Statistics</t>
  </si>
  <si>
    <t>Pattern Details</t>
  </si>
  <si>
    <t>Ball Statistics</t>
  </si>
  <si>
    <t>Low RG</t>
  </si>
  <si>
    <t>Drilling</t>
  </si>
  <si>
    <t>PAP Direction Over</t>
  </si>
  <si>
    <t>PAP Up or Down (-)</t>
  </si>
  <si>
    <t>VLS™ Recommended Layout</t>
  </si>
  <si>
    <t>Pin to PAP Modifiers</t>
  </si>
  <si>
    <t>Very Slow</t>
  </si>
  <si>
    <t>Slow</t>
  </si>
  <si>
    <t>Fast</t>
  </si>
  <si>
    <t>Very Fast</t>
  </si>
  <si>
    <t>Very Low</t>
  </si>
  <si>
    <t>Very High</t>
  </si>
  <si>
    <t>Very Weak</t>
  </si>
  <si>
    <t>Weak</t>
  </si>
  <si>
    <t>Strong</t>
  </si>
  <si>
    <t>Very Strong</t>
  </si>
  <si>
    <t>High/Low RG</t>
  </si>
  <si>
    <t>Reaction Strength</t>
  </si>
  <si>
    <t>High/Low RG Layout</t>
  </si>
  <si>
    <t>High RG</t>
  </si>
  <si>
    <t>Desired Reaction Length</t>
  </si>
  <si>
    <t>Reaction Length</t>
  </si>
  <si>
    <t>% of Max</t>
  </si>
  <si>
    <t>Version 1.0</t>
  </si>
  <si>
    <t>©2013 Storm Products, Inc. All Rights Reserved</t>
  </si>
  <si>
    <t>VLS™</t>
  </si>
  <si>
    <t>Base Formula:</t>
  </si>
  <si>
    <t>MPH</t>
  </si>
  <si>
    <t>Time</t>
  </si>
  <si>
    <t>Distance</t>
  </si>
  <si>
    <t>Formula Converting Seconds to Hours and Feet to Miles:</t>
  </si>
  <si>
    <t>Time in Sec</t>
  </si>
  <si>
    <t>1 min</t>
  </si>
  <si>
    <t>1 hour</t>
  </si>
  <si>
    <t>=&gt;</t>
  </si>
  <si>
    <t>60 sec</t>
  </si>
  <si>
    <t>60 min</t>
  </si>
  <si>
    <t>3600 sec/hour</t>
  </si>
  <si>
    <t>Foul Line to Arrows ft</t>
  </si>
  <si>
    <t>1 mile</t>
  </si>
  <si>
    <t>Foul Line to Arrows</t>
  </si>
  <si>
    <t>5280 ft</t>
  </si>
  <si>
    <t>5280 ft/mile</t>
  </si>
  <si>
    <t>Conversion of Formula to Seconds &amp; Feet:</t>
  </si>
  <si>
    <t>Working Formula:</t>
  </si>
  <si>
    <t>Time (sec) =</t>
  </si>
  <si>
    <t>VLS™ Speed Recommendation</t>
  </si>
  <si>
    <t>Foul Line to Arrows (ft) =</t>
  </si>
  <si>
    <t>Reference Chart based on 15' from the Foul Line to the Arrows</t>
  </si>
  <si>
    <t>Time (sec)</t>
  </si>
  <si>
    <t>Classification</t>
  </si>
  <si>
    <t>Disclaimer:</t>
  </si>
  <si>
    <t>Figure 1:</t>
  </si>
  <si>
    <t xml:space="preserve">The VLS™ (Vector Layout System) was designed to give recommendations based on a number of variables such as the bowler’s release and their desired reaction. However, due to the uniqueness of every bowler’s release and the environment they are bowling on, the system is not foolproof. These layouts are merely a starting point and should be adjusted as needed, especially if the bowler has a unique release that is prone to tracking issues. In such case, it is the responsibility of the ball driller, before drilling any holes, to look for and make any corrections, as necessary, to avoid tracking issues. The system was designed as an aid for Pro Shop Professionals, but does not take away the merits or responsibilities of said Drilling Professionals to ensure the highest quality, performance, and reaction for their customers.
Furthermore, the system is based on a series of equations and rules gained thorough testing, research, and third party verification. The accuracy of the system is subject to accurately identifying the listed variables; likewise, accuracy in numbers such as the Ball Statistics category are subject to manufacturing tolerances. Storm Products, Inc. guarantees the quality of all products we manufacture, but cannot extend such guarantee to products which we do not produce. As such, the accuracy of the recommended layout on products not produced by Storm may be subject to the information inputed.
Balance hole placement is not included in the current system as the location, depth, and size of hole are all dependent upon numerous variables that affect not only performance, but legal operating perimeters such as those stipulated by the United States Bowling Congress (USBC). Adjustments to Pin to PAP, PSA to PAP, and Pin Buffer measurements may all be necessary to ensure the ball will meet USBC regulations. A generalized chart on balance hole placement has been provided below in Figure 1 as a reference guide. 
It is the ultimate responsibility of the Pro Shop to make adjustments, as necessary, to avoid any tracking issues caused by layout choice, balance hole placement, or any combination therein. Storm Products will not be held liable for aforementioned tracking issues, performance issues, or any alleged damages caused by the use of this system as it is only a recommendation and cannot outperform, out-think, or replace the need of a Professional ball driller.
</t>
  </si>
  <si>
    <t>The VLS™ has been designed to give a recommended layout based on a number of variables, but is subject to the information entered into this form.  Please see the disclaimer tab for full details before using.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</si>
</sst>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6">
    <font>
      <sz val="11"/>
      <color theme="1"/>
      <name val="Calibri"/>
      <family val="2"/>
    </font>
    <font>
      <sz val="11"/>
      <color indexed="8"/>
      <name val="Calibri"/>
      <family val="2"/>
    </font>
    <font>
      <b/>
      <sz val="11"/>
      <color indexed="8"/>
      <name val="Calibri"/>
      <family val="2"/>
    </font>
    <font>
      <b/>
      <sz val="14"/>
      <color indexed="8"/>
      <name val="Calibri"/>
      <family val="2"/>
    </font>
    <font>
      <b/>
      <sz val="16"/>
      <color indexed="8"/>
      <name val="Calibri"/>
      <family val="2"/>
    </font>
    <font>
      <sz val="8"/>
      <color indexed="8"/>
      <name val="Calibri"/>
      <family val="2"/>
    </font>
    <font>
      <sz val="12"/>
      <color indexed="8"/>
      <name val="Calibri"/>
      <family val="2"/>
    </font>
    <font>
      <b/>
      <sz val="12"/>
      <color indexed="21"/>
      <name val="Calibri"/>
      <family val="2"/>
    </font>
    <font>
      <sz val="12"/>
      <name val="Calibri"/>
      <family val="2"/>
    </font>
    <font>
      <b/>
      <sz val="11"/>
      <color indexed="9"/>
      <name val="Calibri"/>
      <family val="2"/>
    </font>
    <font>
      <b/>
      <sz val="22"/>
      <color indexed="8"/>
      <name val="Calibri"/>
      <family val="2"/>
    </font>
    <font>
      <b/>
      <sz val="12"/>
      <color indexed="8"/>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Tahoma"/>
      <family val="2"/>
    </font>
    <font>
      <i/>
      <sz val="9"/>
      <color indexed="8"/>
      <name val="Verdana"/>
      <family val="2"/>
    </font>
    <font>
      <b/>
      <i/>
      <u val="single"/>
      <sz val="9"/>
      <color indexed="25"/>
      <name val="Verdana"/>
      <family val="2"/>
    </font>
    <font>
      <b/>
      <i/>
      <u val="single"/>
      <sz val="9"/>
      <color indexed="45"/>
      <name val="Verdana"/>
      <family val="2"/>
    </font>
    <font>
      <b/>
      <i/>
      <u val="single"/>
      <sz val="9"/>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12"/>
      <color theme="1"/>
      <name val="Calibri"/>
      <family val="2"/>
    </font>
    <font>
      <b/>
      <sz val="12"/>
      <color theme="8" tint="-0.4999699890613556"/>
      <name val="Calibri"/>
      <family val="2"/>
    </font>
    <font>
      <sz val="9"/>
      <color theme="1"/>
      <name val="Calibri"/>
      <family val="2"/>
    </font>
    <font>
      <b/>
      <sz val="22"/>
      <color theme="1"/>
      <name val="Calibri"/>
      <family val="2"/>
    </font>
    <font>
      <b/>
      <sz val="16"/>
      <color theme="1"/>
      <name val="Calibri"/>
      <family val="2"/>
    </font>
    <font>
      <b/>
      <sz val="14"/>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3300"/>
        <bgColor indexed="64"/>
      </patternFill>
    </fill>
    <fill>
      <patternFill patternType="solid">
        <fgColor rgb="FFFFFF66"/>
        <bgColor indexed="64"/>
      </patternFill>
    </fill>
    <fill>
      <patternFill patternType="solid">
        <fgColor rgb="FF92D05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right style="medium"/>
      <top/>
      <bottom/>
    </border>
    <border>
      <left/>
      <right style="medium"/>
      <top/>
      <bottom style="medium"/>
    </border>
    <border>
      <left style="medium"/>
      <right/>
      <top style="medium"/>
      <bottom/>
    </border>
    <border>
      <left style="medium"/>
      <right/>
      <top/>
      <bottom/>
    </border>
    <border>
      <left style="medium"/>
      <right/>
      <top/>
      <bottom style="medium"/>
    </border>
    <border>
      <left/>
      <right/>
      <top/>
      <bottom style="thin"/>
    </border>
    <border>
      <left/>
      <right/>
      <top style="medium"/>
      <bottom/>
    </border>
    <border>
      <left style="thin"/>
      <right style="thin"/>
      <top style="thin"/>
      <bottom style="thin"/>
    </border>
    <border>
      <left/>
      <right/>
      <top/>
      <bottom style="medium"/>
    </border>
    <border>
      <left style="thin"/>
      <right/>
      <top style="thin"/>
      <bottom/>
    </border>
    <border>
      <left/>
      <right/>
      <top style="thin"/>
      <bottom/>
    </border>
    <border>
      <left style="thin"/>
      <right/>
      <top/>
      <bottom/>
    </border>
    <border>
      <left style="thin"/>
      <right/>
      <top/>
      <bottom style="thin"/>
    </border>
    <border>
      <left/>
      <right style="thin"/>
      <top/>
      <bottom/>
    </border>
    <border>
      <left/>
      <right style="thin"/>
      <top/>
      <bottom style="thin"/>
    </border>
    <border>
      <left/>
      <right style="thin"/>
      <top style="thin"/>
      <bottom/>
    </border>
    <border>
      <left/>
      <right/>
      <top style="medium"/>
      <bottom style="thin"/>
    </border>
    <border>
      <left style="thin"/>
      <right/>
      <top style="thin"/>
      <bottom style="thin"/>
    </border>
    <border>
      <left/>
      <right/>
      <top style="thin"/>
      <bottom style="thin"/>
    </border>
    <border>
      <left/>
      <right style="thin"/>
      <top style="thin"/>
      <bottom style="thin"/>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0">
    <xf numFmtId="0" fontId="0" fillId="0" borderId="0" xfId="0" applyFont="1" applyAlignment="1">
      <alignment/>
    </xf>
    <xf numFmtId="0" fontId="0" fillId="33" borderId="0" xfId="0" applyFill="1" applyAlignment="1">
      <alignment/>
    </xf>
    <xf numFmtId="0" fontId="46"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2" xfId="0" applyFont="1" applyFill="1" applyBorder="1" applyAlignment="1">
      <alignment horizontal="center" vertical="center"/>
    </xf>
    <xf numFmtId="0" fontId="0" fillId="33" borderId="0" xfId="0" applyFill="1" applyBorder="1" applyAlignment="1">
      <alignment/>
    </xf>
    <xf numFmtId="0" fontId="0" fillId="33" borderId="0" xfId="0" applyFill="1" applyAlignment="1">
      <alignment horizontal="center" vertical="center"/>
    </xf>
    <xf numFmtId="0" fontId="0" fillId="0" borderId="0" xfId="0" applyAlignment="1">
      <alignment horizontal="center" vertical="center"/>
    </xf>
    <xf numFmtId="0" fontId="48" fillId="33" borderId="0" xfId="0" applyFont="1" applyFill="1" applyAlignment="1">
      <alignment horizontal="right" vertical="center"/>
    </xf>
    <xf numFmtId="0" fontId="49" fillId="33" borderId="0" xfId="0" applyFont="1" applyFill="1" applyAlignment="1">
      <alignment/>
    </xf>
    <xf numFmtId="0" fontId="50" fillId="33" borderId="0" xfId="0" applyFont="1" applyFill="1" applyAlignment="1">
      <alignment/>
    </xf>
    <xf numFmtId="0" fontId="50" fillId="33" borderId="0" xfId="0" applyFont="1" applyFill="1" applyBorder="1" applyAlignment="1">
      <alignment/>
    </xf>
    <xf numFmtId="0" fontId="8" fillId="33" borderId="0" xfId="0" applyFont="1" applyFill="1" applyAlignment="1" applyProtection="1">
      <alignment horizontal="center" vertical="center"/>
      <protection locked="0"/>
    </xf>
    <xf numFmtId="164" fontId="8" fillId="33" borderId="0" xfId="0" applyNumberFormat="1" applyFont="1" applyFill="1" applyAlignment="1" applyProtection="1">
      <alignment horizontal="center" vertical="center"/>
      <protection locked="0"/>
    </xf>
    <xf numFmtId="0" fontId="46" fillId="33" borderId="13" xfId="0" applyFont="1" applyFill="1" applyBorder="1" applyAlignment="1">
      <alignment horizontal="left" indent="5"/>
    </xf>
    <xf numFmtId="0" fontId="46" fillId="33" borderId="14" xfId="0" applyFont="1" applyFill="1" applyBorder="1" applyAlignment="1">
      <alignment horizontal="left" indent="5"/>
    </xf>
    <xf numFmtId="0" fontId="46" fillId="33" borderId="15" xfId="0" applyFont="1" applyFill="1" applyBorder="1" applyAlignment="1">
      <alignment horizontal="left" indent="5"/>
    </xf>
    <xf numFmtId="0" fontId="8" fillId="33" borderId="0" xfId="0" applyFont="1" applyFill="1" applyBorder="1" applyAlignment="1" applyProtection="1">
      <alignment horizontal="center" vertical="center"/>
      <protection locked="0"/>
    </xf>
    <xf numFmtId="0" fontId="46" fillId="33" borderId="0" xfId="0" applyFont="1" applyFill="1" applyAlignment="1">
      <alignment horizontal="left" vertical="center"/>
    </xf>
    <xf numFmtId="0" fontId="0" fillId="33" borderId="0" xfId="0" applyFont="1" applyFill="1" applyAlignment="1">
      <alignment horizontal="center" vertical="center"/>
    </xf>
    <xf numFmtId="0" fontId="0" fillId="33" borderId="0" xfId="0" applyFont="1" applyFill="1" applyAlignment="1" quotePrefix="1">
      <alignment horizontal="center" vertical="center"/>
    </xf>
    <xf numFmtId="0" fontId="46" fillId="33" borderId="0" xfId="0" applyFont="1" applyFill="1" applyAlignment="1" quotePrefix="1">
      <alignment horizontal="center" vertical="center"/>
    </xf>
    <xf numFmtId="0" fontId="46" fillId="33" borderId="0" xfId="0" applyFont="1" applyFill="1" applyAlignment="1">
      <alignment horizontal="center" vertical="center"/>
    </xf>
    <xf numFmtId="0" fontId="0" fillId="33" borderId="16" xfId="0" applyFont="1" applyFill="1" applyBorder="1" applyAlignment="1">
      <alignment horizontal="center" vertical="center"/>
    </xf>
    <xf numFmtId="0" fontId="0" fillId="33" borderId="0" xfId="0" applyFill="1" applyAlignment="1">
      <alignment vertical="center"/>
    </xf>
    <xf numFmtId="0" fontId="0" fillId="33" borderId="0" xfId="0" applyFont="1" applyFill="1" applyAlignment="1">
      <alignment vertical="center"/>
    </xf>
    <xf numFmtId="0" fontId="0" fillId="33" borderId="0" xfId="0" applyFont="1" applyFill="1" applyAlignment="1" quotePrefix="1">
      <alignment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46" fillId="33" borderId="13" xfId="0" applyFont="1" applyFill="1" applyBorder="1" applyAlignment="1">
      <alignment horizontal="left" vertical="center"/>
    </xf>
    <xf numFmtId="0" fontId="46" fillId="33" borderId="17" xfId="0" applyFont="1" applyFill="1" applyBorder="1" applyAlignment="1">
      <alignment horizontal="left" vertical="center"/>
    </xf>
    <xf numFmtId="0" fontId="0" fillId="33" borderId="17"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vertical="center"/>
    </xf>
    <xf numFmtId="2" fontId="0" fillId="34" borderId="18" xfId="0" applyNumberFormat="1" applyFill="1" applyBorder="1" applyAlignment="1" applyProtection="1">
      <alignment horizontal="center" vertical="center"/>
      <protection locked="0"/>
    </xf>
    <xf numFmtId="0" fontId="0" fillId="33" borderId="0" xfId="0" applyFill="1" applyBorder="1" applyAlignment="1">
      <alignment vertical="center"/>
    </xf>
    <xf numFmtId="0" fontId="0" fillId="33" borderId="11" xfId="0" applyFill="1" applyBorder="1" applyAlignment="1">
      <alignment horizontal="center" vertical="center"/>
    </xf>
    <xf numFmtId="0" fontId="0" fillId="34" borderId="18" xfId="0" applyFill="1" applyBorder="1" applyAlignment="1" applyProtection="1">
      <alignment horizontal="center" vertical="center"/>
      <protection locked="0"/>
    </xf>
    <xf numFmtId="0" fontId="0" fillId="33" borderId="15" xfId="0" applyFill="1" applyBorder="1" applyAlignment="1">
      <alignment/>
    </xf>
    <xf numFmtId="0" fontId="0" fillId="33" borderId="19" xfId="0" applyFill="1" applyBorder="1" applyAlignment="1">
      <alignment/>
    </xf>
    <xf numFmtId="0" fontId="0" fillId="33" borderId="12" xfId="0" applyFill="1" applyBorder="1" applyAlignment="1">
      <alignment/>
    </xf>
    <xf numFmtId="0" fontId="46" fillId="33" borderId="0" xfId="0" applyFont="1" applyFill="1" applyBorder="1" applyAlignment="1">
      <alignment horizontal="center"/>
    </xf>
    <xf numFmtId="0" fontId="0" fillId="33" borderId="0" xfId="0" applyFill="1" applyBorder="1" applyAlignment="1" quotePrefix="1">
      <alignment horizontal="center" vertical="center"/>
    </xf>
    <xf numFmtId="2" fontId="0" fillId="33" borderId="20" xfId="0" applyNumberFormat="1" applyFill="1" applyBorder="1" applyAlignment="1">
      <alignment horizontal="center"/>
    </xf>
    <xf numFmtId="0" fontId="0" fillId="33" borderId="21" xfId="0" applyFill="1" applyBorder="1" applyAlignment="1" quotePrefix="1">
      <alignment horizontal="center" vertical="center"/>
    </xf>
    <xf numFmtId="0" fontId="0" fillId="33" borderId="21" xfId="0" applyFill="1" applyBorder="1" applyAlignment="1">
      <alignment horizontal="center"/>
    </xf>
    <xf numFmtId="2" fontId="0" fillId="33" borderId="22" xfId="0" applyNumberFormat="1" applyFill="1" applyBorder="1" applyAlignment="1">
      <alignment horizontal="center"/>
    </xf>
    <xf numFmtId="0" fontId="0" fillId="33" borderId="0" xfId="0" applyFill="1" applyBorder="1" applyAlignment="1">
      <alignment horizontal="center"/>
    </xf>
    <xf numFmtId="2" fontId="0" fillId="33" borderId="23" xfId="0" applyNumberFormat="1" applyFill="1" applyBorder="1" applyAlignment="1">
      <alignment horizontal="center"/>
    </xf>
    <xf numFmtId="0" fontId="0" fillId="33" borderId="16" xfId="0" applyFill="1" applyBorder="1" applyAlignment="1" quotePrefix="1">
      <alignment horizontal="center" vertical="center"/>
    </xf>
    <xf numFmtId="0" fontId="0" fillId="33" borderId="16" xfId="0" applyFill="1" applyBorder="1" applyAlignment="1">
      <alignment horizontal="center"/>
    </xf>
    <xf numFmtId="2" fontId="0" fillId="0" borderId="0" xfId="0" applyNumberFormat="1" applyAlignment="1">
      <alignment/>
    </xf>
    <xf numFmtId="0" fontId="0" fillId="0" borderId="0" xfId="0" applyAlignment="1">
      <alignment horizontal="left"/>
    </xf>
    <xf numFmtId="0" fontId="51" fillId="33" borderId="0" xfId="0" applyFont="1" applyFill="1" applyAlignment="1">
      <alignment horizontal="right" vertical="top"/>
    </xf>
    <xf numFmtId="0" fontId="0" fillId="33" borderId="0" xfId="0" applyFill="1" applyAlignment="1">
      <alignment vertical="top" wrapText="1"/>
    </xf>
    <xf numFmtId="0" fontId="46" fillId="33" borderId="0" xfId="0" applyFont="1" applyFill="1" applyBorder="1" applyAlignment="1">
      <alignment horizontal="center" vertical="center"/>
    </xf>
    <xf numFmtId="0" fontId="51" fillId="33" borderId="0" xfId="0" applyFont="1" applyFill="1" applyAlignment="1">
      <alignment horizontal="center" vertical="top" wrapText="1"/>
    </xf>
    <xf numFmtId="0" fontId="52" fillId="33" borderId="0" xfId="0" applyFont="1" applyFill="1" applyAlignment="1">
      <alignment horizontal="center"/>
    </xf>
    <xf numFmtId="0" fontId="53" fillId="33" borderId="0" xfId="0" applyFont="1" applyFill="1" applyAlignment="1">
      <alignment horizontal="center" vertical="top" wrapText="1"/>
    </xf>
    <xf numFmtId="0" fontId="0" fillId="33" borderId="0" xfId="0" applyFill="1" applyAlignment="1">
      <alignment horizontal="center"/>
    </xf>
    <xf numFmtId="0" fontId="54" fillId="33" borderId="0" xfId="0" applyFont="1" applyFill="1" applyAlignment="1">
      <alignment horizontal="center"/>
    </xf>
    <xf numFmtId="0" fontId="46" fillId="33" borderId="0" xfId="0" applyFont="1" applyFill="1" applyAlignment="1">
      <alignment horizontal="center"/>
    </xf>
    <xf numFmtId="0" fontId="54" fillId="33" borderId="0" xfId="0" applyFont="1" applyFill="1" applyBorder="1" applyAlignment="1">
      <alignment horizontal="center"/>
    </xf>
    <xf numFmtId="0" fontId="55" fillId="35" borderId="22" xfId="0" applyFont="1" applyFill="1" applyBorder="1" applyAlignment="1">
      <alignment horizontal="center" vertical="center"/>
    </xf>
    <xf numFmtId="0" fontId="55" fillId="35" borderId="24" xfId="0" applyFont="1" applyFill="1" applyBorder="1" applyAlignment="1">
      <alignment horizontal="center" vertical="center"/>
    </xf>
    <xf numFmtId="0" fontId="55" fillId="35" borderId="23" xfId="0" applyFont="1" applyFill="1" applyBorder="1" applyAlignment="1">
      <alignment horizontal="center" vertical="center"/>
    </xf>
    <xf numFmtId="0" fontId="55" fillId="35" borderId="25" xfId="0" applyFont="1" applyFill="1" applyBorder="1" applyAlignment="1">
      <alignment horizontal="center" vertical="center"/>
    </xf>
    <xf numFmtId="0" fontId="46" fillId="33" borderId="0" xfId="0" applyFont="1" applyFill="1" applyAlignment="1">
      <alignment horizontal="left" vertical="center"/>
    </xf>
    <xf numFmtId="0" fontId="46" fillId="33" borderId="0" xfId="0" applyFont="1" applyFill="1" applyBorder="1" applyAlignment="1">
      <alignment horizontal="center"/>
    </xf>
    <xf numFmtId="0" fontId="55" fillId="36" borderId="20" xfId="0" applyFont="1" applyFill="1" applyBorder="1" applyAlignment="1">
      <alignment horizontal="center" vertical="center"/>
    </xf>
    <xf numFmtId="0" fontId="55" fillId="36" borderId="26" xfId="0" applyFont="1" applyFill="1" applyBorder="1" applyAlignment="1">
      <alignment horizontal="center" vertical="center"/>
    </xf>
    <xf numFmtId="0" fontId="55" fillId="36" borderId="22" xfId="0" applyFont="1" applyFill="1" applyBorder="1" applyAlignment="1">
      <alignment horizontal="center" vertical="center"/>
    </xf>
    <xf numFmtId="0" fontId="55" fillId="36" borderId="24" xfId="0" applyFont="1" applyFill="1" applyBorder="1" applyAlignment="1">
      <alignment horizontal="center" vertical="center"/>
    </xf>
    <xf numFmtId="0" fontId="55" fillId="36" borderId="23" xfId="0" applyFont="1" applyFill="1" applyBorder="1" applyAlignment="1">
      <alignment horizontal="center" vertical="center"/>
    </xf>
    <xf numFmtId="0" fontId="55" fillId="36" borderId="25" xfId="0" applyFont="1" applyFill="1" applyBorder="1" applyAlignment="1">
      <alignment horizontal="center" vertical="center"/>
    </xf>
    <xf numFmtId="0" fontId="55" fillId="37" borderId="20" xfId="0" applyFont="1" applyFill="1" applyBorder="1" applyAlignment="1">
      <alignment horizontal="center" vertical="center"/>
    </xf>
    <xf numFmtId="0" fontId="55" fillId="37" borderId="26" xfId="0" applyFont="1" applyFill="1" applyBorder="1" applyAlignment="1">
      <alignment horizontal="center" vertical="center"/>
    </xf>
    <xf numFmtId="0" fontId="55" fillId="37" borderId="23" xfId="0" applyFont="1" applyFill="1" applyBorder="1" applyAlignment="1">
      <alignment horizontal="center" vertical="center"/>
    </xf>
    <xf numFmtId="0" fontId="55" fillId="37" borderId="25" xfId="0" applyFont="1" applyFill="1" applyBorder="1" applyAlignment="1">
      <alignment horizontal="center" vertical="center"/>
    </xf>
    <xf numFmtId="0" fontId="55" fillId="35" borderId="20" xfId="0" applyFont="1" applyFill="1" applyBorder="1" applyAlignment="1">
      <alignment horizontal="center" vertical="center"/>
    </xf>
    <xf numFmtId="0" fontId="55" fillId="35" borderId="26" xfId="0" applyFont="1" applyFill="1" applyBorder="1" applyAlignment="1">
      <alignment horizontal="center" vertical="center"/>
    </xf>
    <xf numFmtId="0" fontId="0" fillId="33" borderId="0" xfId="0" applyFill="1" applyAlignment="1" quotePrefix="1">
      <alignment horizontal="center" vertical="center"/>
    </xf>
    <xf numFmtId="0" fontId="0" fillId="33" borderId="0" xfId="0" applyFill="1" applyAlignment="1">
      <alignment horizontal="center" vertical="center"/>
    </xf>
    <xf numFmtId="0" fontId="46" fillId="33" borderId="0" xfId="0" applyFont="1" applyFill="1" applyAlignment="1">
      <alignment horizontal="right" vertical="center"/>
    </xf>
    <xf numFmtId="0" fontId="0" fillId="33" borderId="27" xfId="0" applyFill="1" applyBorder="1" applyAlignment="1">
      <alignment horizontal="center" vertical="center"/>
    </xf>
    <xf numFmtId="0" fontId="0" fillId="33" borderId="17" xfId="0" applyFill="1" applyBorder="1" applyAlignment="1">
      <alignment horizontal="center" vertical="center"/>
    </xf>
    <xf numFmtId="0" fontId="35" fillId="33" borderId="0" xfId="0" applyFont="1" applyFill="1" applyBorder="1" applyAlignment="1">
      <alignment horizontal="center"/>
    </xf>
    <xf numFmtId="0" fontId="0" fillId="33" borderId="0" xfId="0" applyFill="1" applyBorder="1" applyAlignment="1">
      <alignment horizontal="right" vertical="center"/>
    </xf>
    <xf numFmtId="0" fontId="0" fillId="33" borderId="24" xfId="0" applyFill="1" applyBorder="1" applyAlignment="1">
      <alignment horizontal="right" vertical="center"/>
    </xf>
    <xf numFmtId="0" fontId="46" fillId="33" borderId="0"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9" xfId="0" applyFont="1" applyFill="1" applyBorder="1" applyAlignment="1">
      <alignment horizontal="center" vertical="center"/>
    </xf>
    <xf numFmtId="0" fontId="46" fillId="38" borderId="30" xfId="0" applyFont="1" applyFill="1" applyBorder="1" applyAlignment="1">
      <alignment horizontal="center" vertical="center"/>
    </xf>
    <xf numFmtId="0" fontId="0" fillId="33" borderId="0" xfId="0" applyFont="1" applyFill="1" applyAlignment="1">
      <alignment horizontal="center" vertical="center"/>
    </xf>
    <xf numFmtId="0" fontId="46" fillId="33" borderId="0" xfId="0" applyFont="1" applyFill="1" applyAlignment="1" quotePrefix="1">
      <alignment horizontal="center" vertical="center"/>
    </xf>
    <xf numFmtId="0" fontId="46" fillId="33" borderId="0" xfId="0" applyFont="1" applyFill="1" applyAlignment="1">
      <alignment horizontal="center" vertical="center"/>
    </xf>
    <xf numFmtId="0" fontId="0" fillId="33" borderId="16" xfId="0" applyFill="1" applyBorder="1" applyAlignment="1">
      <alignment horizontal="center" vertical="center"/>
    </xf>
    <xf numFmtId="0" fontId="0" fillId="33" borderId="0" xfId="0" applyFill="1" applyBorder="1" applyAlignment="1">
      <alignment horizontal="center" vertical="center"/>
    </xf>
    <xf numFmtId="0" fontId="0" fillId="33" borderId="19" xfId="0" applyFill="1" applyBorder="1" applyAlignment="1">
      <alignment horizontal="center" vertical="center"/>
    </xf>
    <xf numFmtId="0" fontId="0" fillId="33" borderId="31" xfId="0" applyFill="1" applyBorder="1" applyAlignment="1">
      <alignment horizontal="center" vertical="center"/>
    </xf>
    <xf numFmtId="0" fontId="0" fillId="33" borderId="16" xfId="0" applyFont="1" applyFill="1" applyBorder="1" applyAlignment="1">
      <alignment horizontal="center" vertical="center"/>
    </xf>
    <xf numFmtId="0" fontId="0" fillId="33" borderId="21" xfId="0" applyFill="1" applyBorder="1" applyAlignment="1">
      <alignment horizontal="center" vertical="center"/>
    </xf>
    <xf numFmtId="0" fontId="0" fillId="33" borderId="0" xfId="0" applyFont="1" applyFill="1" applyAlignment="1" quotePrefix="1">
      <alignment horizontal="center" vertical="center"/>
    </xf>
    <xf numFmtId="0" fontId="0" fillId="33" borderId="0" xfId="0" applyFill="1" applyBorder="1" applyAlignment="1" quotePrefix="1">
      <alignment horizontal="center" vertical="center"/>
    </xf>
    <xf numFmtId="0" fontId="0" fillId="33" borderId="0" xfId="0" applyFont="1" applyFill="1" applyBorder="1" applyAlignment="1">
      <alignment horizontal="center" vertical="center"/>
    </xf>
    <xf numFmtId="0" fontId="0" fillId="33" borderId="0" xfId="0" applyFill="1" applyAlignment="1">
      <alignment horizontal="left" vertical="top" wrapText="1"/>
    </xf>
    <xf numFmtId="0" fontId="32" fillId="33" borderId="0" xfId="0" applyFont="1" applyFill="1" applyAlignment="1" applyProtection="1">
      <alignment/>
      <protection hidden="1"/>
    </xf>
    <xf numFmtId="0" fontId="32" fillId="33" borderId="0" xfId="0" applyFont="1" applyFill="1" applyBorder="1" applyAlignment="1" applyProtection="1">
      <alignment vertical="center"/>
      <protection hidden="1"/>
    </xf>
    <xf numFmtId="0" fontId="32" fillId="33" borderId="0" xfId="0" applyFont="1" applyFill="1" applyBorder="1" applyAlignment="1" applyProtection="1">
      <alignment/>
      <protection hidden="1"/>
    </xf>
    <xf numFmtId="0" fontId="32" fillId="33" borderId="0" xfId="0" applyFont="1" applyFill="1" applyBorder="1" applyAlignment="1" applyProtection="1">
      <alignment/>
      <protection hidden="1"/>
    </xf>
    <xf numFmtId="0" fontId="32" fillId="33" borderId="0" xfId="0" applyFont="1" applyFill="1" applyBorder="1" applyAlignment="1" applyProtection="1">
      <alignment horizontal="center" vertical="center"/>
      <protection hidden="1"/>
    </xf>
    <xf numFmtId="164" fontId="32" fillId="33" borderId="0" xfId="0" applyNumberFormat="1" applyFont="1" applyFill="1" applyBorder="1" applyAlignment="1" applyProtection="1">
      <alignment/>
      <protection hidden="1"/>
    </xf>
    <xf numFmtId="2" fontId="32" fillId="33" borderId="0" xfId="0" applyNumberFormat="1" applyFont="1" applyFill="1" applyBorder="1" applyAlignment="1" applyProtection="1">
      <alignment horizontal="center"/>
      <protection hidden="1"/>
    </xf>
    <xf numFmtId="0" fontId="32" fillId="33" borderId="0" xfId="0" applyFont="1" applyFill="1" applyAlignment="1" applyProtection="1">
      <alignment horizontal="center" vertical="center"/>
      <protection hidden="1"/>
    </xf>
    <xf numFmtId="0" fontId="35" fillId="33" borderId="0" xfId="0" applyFont="1" applyFill="1" applyAlignment="1" applyProtection="1">
      <alignment horizontal="center" vertical="center"/>
      <protection hidden="1"/>
    </xf>
    <xf numFmtId="0" fontId="32" fillId="33" borderId="0" xfId="0" applyFont="1" applyFill="1" applyAlignment="1" applyProtection="1">
      <alignment horizontal="center" vertical="center"/>
      <protection hidden="1"/>
    </xf>
    <xf numFmtId="0" fontId="32" fillId="33" borderId="0" xfId="0" applyFont="1" applyFill="1" applyBorder="1" applyAlignment="1" applyProtection="1">
      <alignment horizontal="center" vertical="center"/>
      <protection hidden="1"/>
    </xf>
    <xf numFmtId="0" fontId="32" fillId="33" borderId="0" xfId="0" applyFont="1" applyFill="1" applyAlignment="1" applyProtection="1" quotePrefix="1">
      <alignment/>
      <protection hidden="1"/>
    </xf>
    <xf numFmtId="0" fontId="32" fillId="33" borderId="0" xfId="0" applyFont="1" applyFill="1" applyBorder="1" applyAlignment="1" applyProtection="1" quotePrefix="1">
      <alignment horizontal="center" vertical="center"/>
      <protection hidden="1"/>
    </xf>
    <xf numFmtId="0" fontId="32" fillId="33" borderId="0" xfId="0" applyFont="1" applyFill="1" applyBorder="1" applyAlignment="1" applyProtection="1" quotePrefix="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1390650</xdr:colOff>
      <xdr:row>20</xdr:row>
      <xdr:rowOff>95250</xdr:rowOff>
    </xdr:from>
    <xdr:to>
      <xdr:col>4</xdr:col>
      <xdr:colOff>981075</xdr:colOff>
      <xdr:row>24</xdr:row>
      <xdr:rowOff>57150</xdr:rowOff>
    </xdr:to>
    <xdr:pic>
      <xdr:nvPicPr>
        <xdr:cNvPr id="1" name="Picture 1"/>
        <xdr:cNvPicPr preferRelativeResize="1">
          <a:picLocks noChangeAspect="1"/>
        </xdr:cNvPicPr>
      </xdr:nvPicPr>
      <xdr:blipFill>
        <a:blip r:embed="rId1"/>
        <a:stretch>
          <a:fillRect/>
        </a:stretch>
      </xdr:blipFill>
      <xdr:spPr>
        <a:xfrm>
          <a:off x="5362575" y="4705350"/>
          <a:ext cx="1104900" cy="723900"/>
        </a:xfrm>
        <a:prstGeom prst="rect">
          <a:avLst/>
        </a:prstGeom>
        <a:noFill/>
        <a:ln w="9525" cmpd="sng">
          <a:noFill/>
        </a:ln>
      </xdr:spPr>
    </xdr:pic>
    <xdr:clientData/>
  </xdr:twoCellAnchor>
  <xdr:twoCellAnchor editAs="oneCell">
    <xdr:from>
      <xdr:col>1</xdr:col>
      <xdr:colOff>38100</xdr:colOff>
      <xdr:row>20</xdr:row>
      <xdr:rowOff>38100</xdr:rowOff>
    </xdr:from>
    <xdr:to>
      <xdr:col>1</xdr:col>
      <xdr:colOff>838200</xdr:colOff>
      <xdr:row>24</xdr:row>
      <xdr:rowOff>0</xdr:rowOff>
    </xdr:to>
    <xdr:pic>
      <xdr:nvPicPr>
        <xdr:cNvPr id="2" name="Picture 2"/>
        <xdr:cNvPicPr preferRelativeResize="1">
          <a:picLocks noChangeAspect="1"/>
        </xdr:cNvPicPr>
      </xdr:nvPicPr>
      <xdr:blipFill>
        <a:blip r:embed="rId2"/>
        <a:stretch>
          <a:fillRect/>
        </a:stretch>
      </xdr:blipFill>
      <xdr:spPr>
        <a:xfrm>
          <a:off x="1609725" y="4648200"/>
          <a:ext cx="8001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27</xdr:row>
      <xdr:rowOff>342900</xdr:rowOff>
    </xdr:from>
    <xdr:to>
      <xdr:col>3</xdr:col>
      <xdr:colOff>581025</xdr:colOff>
      <xdr:row>38</xdr:row>
      <xdr:rowOff>142875</xdr:rowOff>
    </xdr:to>
    <xdr:pic>
      <xdr:nvPicPr>
        <xdr:cNvPr id="1" name="Picture 1" descr="balanceHole.png"/>
        <xdr:cNvPicPr preferRelativeResize="1">
          <a:picLocks noChangeAspect="1"/>
        </xdr:cNvPicPr>
      </xdr:nvPicPr>
      <xdr:blipFill>
        <a:blip r:embed="rId1"/>
        <a:stretch>
          <a:fillRect/>
        </a:stretch>
      </xdr:blipFill>
      <xdr:spPr>
        <a:xfrm>
          <a:off x="342900" y="5486400"/>
          <a:ext cx="2066925" cy="2085975"/>
        </a:xfrm>
        <a:prstGeom prst="rect">
          <a:avLst/>
        </a:prstGeom>
        <a:noFill/>
        <a:ln w="9525" cmpd="sng">
          <a:noFill/>
        </a:ln>
      </xdr:spPr>
    </xdr:pic>
    <xdr:clientData/>
  </xdr:twoCellAnchor>
  <xdr:twoCellAnchor>
    <xdr:from>
      <xdr:col>2</xdr:col>
      <xdr:colOff>561975</xdr:colOff>
      <xdr:row>30</xdr:row>
      <xdr:rowOff>57150</xdr:rowOff>
    </xdr:from>
    <xdr:to>
      <xdr:col>3</xdr:col>
      <xdr:colOff>19050</xdr:colOff>
      <xdr:row>30</xdr:row>
      <xdr:rowOff>123825</xdr:rowOff>
    </xdr:to>
    <xdr:sp>
      <xdr:nvSpPr>
        <xdr:cNvPr id="2" name="Oval 2"/>
        <xdr:cNvSpPr>
          <a:spLocks/>
        </xdr:cNvSpPr>
      </xdr:nvSpPr>
      <xdr:spPr>
        <a:xfrm>
          <a:off x="1781175" y="5962650"/>
          <a:ext cx="66675" cy="66675"/>
        </a:xfrm>
        <a:prstGeom prst="ellipse">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457200</xdr:colOff>
      <xdr:row>27</xdr:row>
      <xdr:rowOff>76200</xdr:rowOff>
    </xdr:from>
    <xdr:to>
      <xdr:col>9</xdr:col>
      <xdr:colOff>561975</xdr:colOff>
      <xdr:row>31</xdr:row>
      <xdr:rowOff>95250</xdr:rowOff>
    </xdr:to>
    <xdr:sp>
      <xdr:nvSpPr>
        <xdr:cNvPr id="3" name="Text Box 4"/>
        <xdr:cNvSpPr txBox="1">
          <a:spLocks noChangeArrowheads="1"/>
        </xdr:cNvSpPr>
      </xdr:nvSpPr>
      <xdr:spPr>
        <a:xfrm>
          <a:off x="2286000" y="5219700"/>
          <a:ext cx="3762375" cy="971550"/>
        </a:xfrm>
        <a:prstGeom prst="rect">
          <a:avLst/>
        </a:prstGeom>
        <a:noFill/>
        <a:ln w="9525" cmpd="sng">
          <a:noFill/>
        </a:ln>
      </xdr:spPr>
      <xdr:txBody>
        <a:bodyPr vertOverflow="clip" wrap="square"/>
        <a:p>
          <a:pPr algn="l">
            <a:defRPr/>
          </a:pPr>
          <a:r>
            <a:rPr lang="en-US" cap="none" sz="900" b="0" i="1" u="none" baseline="0">
              <a:solidFill>
                <a:srgbClr val="000000"/>
              </a:solidFill>
              <a:latin typeface="Verdana"/>
              <a:ea typeface="Verdana"/>
              <a:cs typeface="Verdana"/>
            </a:rPr>
            <a:t>Balance holes in </a:t>
          </a:r>
          <a:r>
            <a:rPr lang="en-US" cap="none" sz="900" b="1" i="1" u="sng" baseline="0">
              <a:solidFill>
                <a:srgbClr val="993366"/>
              </a:solidFill>
              <a:latin typeface="Verdana"/>
              <a:ea typeface="Verdana"/>
              <a:cs typeface="Verdana"/>
            </a:rPr>
            <a:t>red</a:t>
          </a:r>
          <a:r>
            <a:rPr lang="en-US" cap="none" sz="900" b="0" i="1" u="none" baseline="0">
              <a:solidFill>
                <a:srgbClr val="000000"/>
              </a:solidFill>
              <a:latin typeface="Verdana"/>
              <a:ea typeface="Verdana"/>
              <a:cs typeface="Verdana"/>
            </a:rPr>
            <a:t> decrease flare potential
</a:t>
          </a:r>
          <a:r>
            <a:rPr lang="en-US" cap="none" sz="900" b="0" i="1" u="none" baseline="0">
              <a:solidFill>
                <a:srgbClr val="000000"/>
              </a:solidFill>
              <a:latin typeface="Verdana"/>
              <a:ea typeface="Verdana"/>
              <a:cs typeface="Verdana"/>
            </a:rPr>
            <a:t>Balance holes in </a:t>
          </a:r>
          <a:r>
            <a:rPr lang="en-US" cap="none" sz="900" b="1" i="1" u="sng" baseline="0">
              <a:solidFill>
                <a:srgbClr val="FF99CC"/>
              </a:solidFill>
              <a:latin typeface="Verdana"/>
              <a:ea typeface="Verdana"/>
              <a:cs typeface="Verdana"/>
            </a:rPr>
            <a:t>pink</a:t>
          </a:r>
          <a:r>
            <a:rPr lang="en-US" cap="none" sz="900" b="0" i="1" u="none" baseline="0">
              <a:solidFill>
                <a:srgbClr val="000000"/>
              </a:solidFill>
              <a:latin typeface="Verdana"/>
              <a:ea typeface="Verdana"/>
              <a:cs typeface="Verdana"/>
            </a:rPr>
            <a:t> may have little effect on performance
</a:t>
          </a:r>
          <a:r>
            <a:rPr lang="en-US" cap="none" sz="900" b="0" i="1" u="none" baseline="0">
              <a:solidFill>
                <a:srgbClr val="000000"/>
              </a:solidFill>
              <a:latin typeface="Verdana"/>
              <a:ea typeface="Verdana"/>
              <a:cs typeface="Verdana"/>
            </a:rPr>
            <a:t>Balance holes in</a:t>
          </a:r>
          <a:r>
            <a:rPr lang="en-US" cap="none" sz="900" b="0" i="1" u="none" baseline="0">
              <a:solidFill>
                <a:srgbClr val="000000"/>
              </a:solidFill>
              <a:latin typeface="Verdana"/>
              <a:ea typeface="Verdana"/>
              <a:cs typeface="Verdana"/>
            </a:rPr>
            <a:t> </a:t>
          </a:r>
          <a:r>
            <a:rPr lang="en-US" cap="none" sz="900" b="1" i="1" u="sng" baseline="0">
              <a:solidFill>
                <a:srgbClr val="000000"/>
              </a:solidFill>
              <a:latin typeface="Verdana"/>
              <a:ea typeface="Verdana"/>
              <a:cs typeface="Verdana"/>
            </a:rPr>
            <a:t>white</a:t>
          </a:r>
          <a:r>
            <a:rPr lang="en-US" cap="none" sz="900" b="0" i="1" u="none" baseline="0">
              <a:solidFill>
                <a:srgbClr val="000000"/>
              </a:solidFill>
              <a:latin typeface="Verdana"/>
              <a:ea typeface="Verdana"/>
              <a:cs typeface="Verdana"/>
            </a:rPr>
            <a:t> </a:t>
          </a:r>
          <a:r>
            <a:rPr lang="en-US" cap="none" sz="900" b="0" i="1" u="none" baseline="0">
              <a:solidFill>
                <a:srgbClr val="000000"/>
              </a:solidFill>
              <a:latin typeface="Verdana"/>
              <a:ea typeface="Verdana"/>
              <a:cs typeface="Verdana"/>
            </a:rPr>
            <a:t>increase flare potential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P55"/>
  <sheetViews>
    <sheetView tabSelected="1" zoomScalePageLayoutView="0" workbookViewId="0" topLeftCell="A1">
      <selection activeCell="C4" sqref="C4"/>
    </sheetView>
  </sheetViews>
  <sheetFormatPr defaultColWidth="9.140625" defaultRowHeight="15"/>
  <cols>
    <col min="1" max="1" width="23.57421875" style="1" customWidth="1"/>
    <col min="2" max="2" width="17.421875" style="1" bestFit="1" customWidth="1"/>
    <col min="3" max="3" width="18.57421875" style="1" customWidth="1"/>
    <col min="4" max="4" width="22.7109375" style="1" customWidth="1"/>
    <col min="5" max="5" width="14.8515625" style="1" customWidth="1"/>
    <col min="6" max="6" width="10.57421875" style="1" customWidth="1"/>
    <col min="7" max="9" width="9.140625" style="1" customWidth="1"/>
    <col min="10" max="10" width="8.57421875" style="1" customWidth="1"/>
    <col min="11" max="20" width="9.140625" style="1" hidden="1" customWidth="1"/>
    <col min="21" max="21" width="5.421875" style="1" hidden="1" customWidth="1"/>
    <col min="22" max="42" width="9.140625" style="1" hidden="1" customWidth="1"/>
    <col min="43" max="16384" width="9.140625" style="1" customWidth="1"/>
  </cols>
  <sheetData>
    <row r="1" spans="2:42" ht="40.5" customHeight="1">
      <c r="B1" s="57" t="s">
        <v>66</v>
      </c>
      <c r="C1" s="57"/>
      <c r="D1" s="57"/>
      <c r="E1" s="57"/>
      <c r="K1" s="106"/>
      <c r="L1" s="106"/>
      <c r="M1" s="107" t="s">
        <v>29</v>
      </c>
      <c r="N1" s="107"/>
      <c r="O1" s="107"/>
      <c r="P1" s="107"/>
      <c r="Q1" s="107"/>
      <c r="R1" s="107"/>
      <c r="S1" s="108" t="s">
        <v>37</v>
      </c>
      <c r="T1" s="108"/>
      <c r="U1" s="108"/>
      <c r="V1" s="108"/>
      <c r="W1" s="108"/>
      <c r="X1" s="108"/>
      <c r="Y1" s="108" t="s">
        <v>46</v>
      </c>
      <c r="Z1" s="108"/>
      <c r="AA1" s="108"/>
      <c r="AB1" s="108"/>
      <c r="AC1" s="108"/>
      <c r="AD1" s="108"/>
      <c r="AE1" s="108"/>
      <c r="AF1" s="108"/>
      <c r="AG1" s="108"/>
      <c r="AH1" s="108"/>
      <c r="AI1" s="108"/>
      <c r="AJ1" s="106"/>
      <c r="AK1" s="106"/>
      <c r="AL1" s="106"/>
      <c r="AM1" s="106"/>
      <c r="AN1" s="106"/>
      <c r="AO1" s="106"/>
      <c r="AP1" s="106"/>
    </row>
    <row r="2" spans="2:42" ht="28.5" customHeight="1">
      <c r="B2" s="58" t="str">
        <f>"Vector Layout System by Storm®"</f>
        <v>Vector Layout System by Storm®</v>
      </c>
      <c r="C2" s="58"/>
      <c r="D2" s="58"/>
      <c r="E2" s="58"/>
      <c r="K2" s="106"/>
      <c r="L2" s="106"/>
      <c r="M2" s="107" t="s">
        <v>20</v>
      </c>
      <c r="N2" s="107"/>
      <c r="O2" s="107" t="s">
        <v>3</v>
      </c>
      <c r="P2" s="107"/>
      <c r="Q2" s="107" t="s">
        <v>4</v>
      </c>
      <c r="R2" s="107"/>
      <c r="S2" s="107" t="s">
        <v>19</v>
      </c>
      <c r="T2" s="107"/>
      <c r="U2" s="107" t="s">
        <v>1</v>
      </c>
      <c r="V2" s="107"/>
      <c r="W2" s="107" t="s">
        <v>30</v>
      </c>
      <c r="X2" s="107"/>
      <c r="Y2" s="108" t="s">
        <v>0</v>
      </c>
      <c r="Z2" s="108"/>
      <c r="AA2" s="108" t="s">
        <v>10</v>
      </c>
      <c r="AB2" s="108"/>
      <c r="AC2" s="109" t="s">
        <v>41</v>
      </c>
      <c r="AD2" s="109" t="s">
        <v>11</v>
      </c>
      <c r="AE2" s="109" t="s">
        <v>12</v>
      </c>
      <c r="AF2" s="108" t="s">
        <v>27</v>
      </c>
      <c r="AG2" s="108"/>
      <c r="AH2" s="108" t="s">
        <v>57</v>
      </c>
      <c r="AI2" s="108"/>
      <c r="AJ2" s="106"/>
      <c r="AK2" s="106"/>
      <c r="AL2" s="106"/>
      <c r="AM2" s="106"/>
      <c r="AN2" s="106"/>
      <c r="AO2" s="106"/>
      <c r="AP2" s="106"/>
    </row>
    <row r="3" spans="2:42" ht="18.75">
      <c r="B3" s="60" t="s">
        <v>38</v>
      </c>
      <c r="C3" s="60"/>
      <c r="D3" s="60" t="s">
        <v>42</v>
      </c>
      <c r="E3" s="60"/>
      <c r="K3" s="106"/>
      <c r="L3" s="106"/>
      <c r="M3" s="110" t="s">
        <v>21</v>
      </c>
      <c r="N3" s="110">
        <v>31</v>
      </c>
      <c r="O3" s="110" t="s">
        <v>7</v>
      </c>
      <c r="P3" s="110">
        <v>2</v>
      </c>
      <c r="Q3" s="110" t="s">
        <v>5</v>
      </c>
      <c r="R3" s="110">
        <v>-2</v>
      </c>
      <c r="S3" s="110" t="s">
        <v>21</v>
      </c>
      <c r="T3" s="110">
        <v>2.1</v>
      </c>
      <c r="U3" s="110" t="s">
        <v>31</v>
      </c>
      <c r="V3" s="110">
        <v>1</v>
      </c>
      <c r="W3" s="110" t="s">
        <v>34</v>
      </c>
      <c r="X3" s="110">
        <v>0.5</v>
      </c>
      <c r="Y3" s="109" t="s">
        <v>47</v>
      </c>
      <c r="Z3" s="109">
        <v>13</v>
      </c>
      <c r="AA3" s="109" t="s">
        <v>51</v>
      </c>
      <c r="AB3" s="109">
        <v>150</v>
      </c>
      <c r="AC3" s="111">
        <f>C14</f>
        <v>2.47</v>
      </c>
      <c r="AD3" s="111">
        <f>C15</f>
        <v>0.058</v>
      </c>
      <c r="AE3" s="111">
        <f>C16</f>
        <v>0.028</v>
      </c>
      <c r="AF3" s="109" t="s">
        <v>53</v>
      </c>
      <c r="AG3" s="112">
        <v>0.4</v>
      </c>
      <c r="AH3" s="109" t="s">
        <v>60</v>
      </c>
      <c r="AI3" s="109" t="b">
        <v>1</v>
      </c>
      <c r="AJ3" s="106"/>
      <c r="AK3" s="106"/>
      <c r="AL3" s="106"/>
      <c r="AM3" s="106"/>
      <c r="AN3" s="106"/>
      <c r="AO3" s="106"/>
      <c r="AP3" s="106"/>
    </row>
    <row r="4" spans="2:42" ht="15.75">
      <c r="B4" s="10" t="s">
        <v>0</v>
      </c>
      <c r="C4" s="12" t="s">
        <v>8</v>
      </c>
      <c r="D4" s="10" t="s">
        <v>43</v>
      </c>
      <c r="E4" s="12">
        <v>5.25</v>
      </c>
      <c r="K4" s="106"/>
      <c r="L4" s="106"/>
      <c r="M4" s="110" t="s">
        <v>22</v>
      </c>
      <c r="N4" s="110">
        <v>34</v>
      </c>
      <c r="O4" s="110" t="s">
        <v>8</v>
      </c>
      <c r="P4" s="110">
        <v>0</v>
      </c>
      <c r="Q4" s="110" t="s">
        <v>28</v>
      </c>
      <c r="R4" s="110">
        <v>0</v>
      </c>
      <c r="S4" s="110" t="s">
        <v>22</v>
      </c>
      <c r="T4" s="110">
        <v>1.4</v>
      </c>
      <c r="U4" s="110" t="s">
        <v>32</v>
      </c>
      <c r="V4" s="110">
        <v>0</v>
      </c>
      <c r="W4" s="110" t="s">
        <v>36</v>
      </c>
      <c r="X4" s="110">
        <v>0</v>
      </c>
      <c r="Y4" s="109" t="s">
        <v>48</v>
      </c>
      <c r="Z4" s="109">
        <v>15</v>
      </c>
      <c r="AA4" s="109" t="s">
        <v>34</v>
      </c>
      <c r="AB4" s="109">
        <v>225</v>
      </c>
      <c r="AC4" s="109"/>
      <c r="AD4" s="109"/>
      <c r="AE4" s="109"/>
      <c r="AF4" s="109" t="s">
        <v>54</v>
      </c>
      <c r="AG4" s="112">
        <v>0.55</v>
      </c>
      <c r="AH4" s="109" t="s">
        <v>41</v>
      </c>
      <c r="AI4" s="109" t="b">
        <v>0</v>
      </c>
      <c r="AJ4" s="106"/>
      <c r="AK4" s="106"/>
      <c r="AL4" s="106"/>
      <c r="AM4" s="106"/>
      <c r="AN4" s="106"/>
      <c r="AO4" s="106"/>
      <c r="AP4" s="106"/>
    </row>
    <row r="5" spans="2:42" ht="15.75">
      <c r="B5" s="10" t="s">
        <v>10</v>
      </c>
      <c r="C5" s="12" t="s">
        <v>8</v>
      </c>
      <c r="D5" s="10" t="s">
        <v>44</v>
      </c>
      <c r="E5" s="12">
        <v>0.25</v>
      </c>
      <c r="K5" s="106"/>
      <c r="L5" s="106"/>
      <c r="M5" s="110" t="s">
        <v>23</v>
      </c>
      <c r="N5" s="110">
        <v>36</v>
      </c>
      <c r="O5" s="110" t="s">
        <v>9</v>
      </c>
      <c r="P5" s="110">
        <v>-2</v>
      </c>
      <c r="Q5" s="110" t="s">
        <v>6</v>
      </c>
      <c r="R5" s="110">
        <v>2</v>
      </c>
      <c r="S5" s="110" t="s">
        <v>23</v>
      </c>
      <c r="T5" s="110">
        <v>0.7</v>
      </c>
      <c r="U5" s="110" t="s">
        <v>33</v>
      </c>
      <c r="V5" s="110">
        <v>-1</v>
      </c>
      <c r="W5" s="110" t="s">
        <v>35</v>
      </c>
      <c r="X5" s="110">
        <v>-0.5</v>
      </c>
      <c r="Y5" s="109" t="s">
        <v>8</v>
      </c>
      <c r="Z5" s="109">
        <v>17</v>
      </c>
      <c r="AA5" s="109" t="s">
        <v>8</v>
      </c>
      <c r="AB5" s="109">
        <v>300</v>
      </c>
      <c r="AC5" s="109"/>
      <c r="AD5" s="109"/>
      <c r="AE5" s="109"/>
      <c r="AF5" s="109" t="s">
        <v>8</v>
      </c>
      <c r="AG5" s="112">
        <v>0.7</v>
      </c>
      <c r="AH5" s="109"/>
      <c r="AI5" s="109"/>
      <c r="AJ5" s="106"/>
      <c r="AK5" s="106"/>
      <c r="AL5" s="106"/>
      <c r="AM5" s="106"/>
      <c r="AN5" s="106"/>
      <c r="AO5" s="106"/>
      <c r="AP5" s="106"/>
    </row>
    <row r="6" spans="2:42" ht="15.75">
      <c r="B6" s="10" t="s">
        <v>30</v>
      </c>
      <c r="C6" s="12" t="s">
        <v>36</v>
      </c>
      <c r="D6" s="10" t="s">
        <v>58</v>
      </c>
      <c r="E6" s="12" t="s">
        <v>8</v>
      </c>
      <c r="K6" s="106"/>
      <c r="L6" s="106"/>
      <c r="M6" s="110" t="s">
        <v>8</v>
      </c>
      <c r="N6" s="110">
        <v>38</v>
      </c>
      <c r="O6" s="110"/>
      <c r="P6" s="110"/>
      <c r="Q6" s="110"/>
      <c r="R6" s="110"/>
      <c r="S6" s="110" t="s">
        <v>8</v>
      </c>
      <c r="T6" s="110">
        <v>0</v>
      </c>
      <c r="U6" s="110"/>
      <c r="V6" s="110"/>
      <c r="W6" s="110"/>
      <c r="X6" s="110"/>
      <c r="Y6" s="109" t="s">
        <v>49</v>
      </c>
      <c r="Z6" s="109">
        <v>19</v>
      </c>
      <c r="AA6" s="109" t="s">
        <v>35</v>
      </c>
      <c r="AB6" s="109">
        <v>375</v>
      </c>
      <c r="AC6" s="109"/>
      <c r="AD6" s="109"/>
      <c r="AE6" s="109"/>
      <c r="AF6" s="109" t="s">
        <v>55</v>
      </c>
      <c r="AG6" s="112">
        <v>0.85</v>
      </c>
      <c r="AH6" s="109"/>
      <c r="AI6" s="109"/>
      <c r="AJ6" s="106"/>
      <c r="AK6" s="106"/>
      <c r="AL6" s="106"/>
      <c r="AM6" s="106"/>
      <c r="AN6" s="106"/>
      <c r="AO6" s="106"/>
      <c r="AP6" s="106"/>
    </row>
    <row r="7" spans="2:42" ht="15.75">
      <c r="B7" s="10" t="s">
        <v>1</v>
      </c>
      <c r="C7" s="12" t="s">
        <v>32</v>
      </c>
      <c r="D7" s="10" t="s">
        <v>59</v>
      </c>
      <c r="E7" s="12" t="s">
        <v>60</v>
      </c>
      <c r="K7" s="106"/>
      <c r="L7" s="106"/>
      <c r="M7" s="110" t="s">
        <v>24</v>
      </c>
      <c r="N7" s="110">
        <v>40</v>
      </c>
      <c r="O7" s="110"/>
      <c r="P7" s="110"/>
      <c r="Q7" s="110"/>
      <c r="R7" s="110"/>
      <c r="S7" s="110" t="s">
        <v>24</v>
      </c>
      <c r="T7" s="110">
        <v>-0.7</v>
      </c>
      <c r="U7" s="110"/>
      <c r="V7" s="110"/>
      <c r="W7" s="110"/>
      <c r="X7" s="110"/>
      <c r="Y7" s="109" t="s">
        <v>50</v>
      </c>
      <c r="Z7" s="109">
        <v>21</v>
      </c>
      <c r="AA7" s="109" t="s">
        <v>52</v>
      </c>
      <c r="AB7" s="109">
        <v>450</v>
      </c>
      <c r="AC7" s="109"/>
      <c r="AD7" s="109"/>
      <c r="AE7" s="109"/>
      <c r="AF7" s="109" t="s">
        <v>56</v>
      </c>
      <c r="AG7" s="112">
        <v>1</v>
      </c>
      <c r="AH7" s="109"/>
      <c r="AI7" s="109"/>
      <c r="AJ7" s="106"/>
      <c r="AK7" s="106"/>
      <c r="AL7" s="106"/>
      <c r="AM7" s="106"/>
      <c r="AN7" s="106"/>
      <c r="AO7" s="106"/>
      <c r="AP7" s="106"/>
    </row>
    <row r="8" spans="4:42" ht="15.75">
      <c r="D8" s="10" t="s">
        <v>19</v>
      </c>
      <c r="E8" s="12" t="s">
        <v>8</v>
      </c>
      <c r="K8" s="106"/>
      <c r="L8" s="106"/>
      <c r="M8" s="110" t="s">
        <v>25</v>
      </c>
      <c r="N8" s="110">
        <v>42</v>
      </c>
      <c r="O8" s="110"/>
      <c r="P8" s="110"/>
      <c r="Q8" s="110"/>
      <c r="R8" s="110"/>
      <c r="S8" s="110" t="s">
        <v>25</v>
      </c>
      <c r="T8" s="110">
        <v>-1.4</v>
      </c>
      <c r="U8" s="110"/>
      <c r="V8" s="110"/>
      <c r="W8" s="110"/>
      <c r="X8" s="110"/>
      <c r="Y8" s="109"/>
      <c r="Z8" s="109"/>
      <c r="AA8" s="109"/>
      <c r="AB8" s="109"/>
      <c r="AC8" s="109"/>
      <c r="AD8" s="109"/>
      <c r="AE8" s="109"/>
      <c r="AF8" s="109"/>
      <c r="AG8" s="109"/>
      <c r="AH8" s="109"/>
      <c r="AI8" s="109"/>
      <c r="AJ8" s="106"/>
      <c r="AK8" s="106"/>
      <c r="AL8" s="106"/>
      <c r="AM8" s="106"/>
      <c r="AN8" s="106"/>
      <c r="AO8" s="106"/>
      <c r="AP8" s="106"/>
    </row>
    <row r="9" spans="2:42" ht="18.75">
      <c r="B9" s="60" t="s">
        <v>39</v>
      </c>
      <c r="C9" s="60"/>
      <c r="D9" s="61"/>
      <c r="E9" s="61"/>
      <c r="K9" s="106"/>
      <c r="L9" s="106"/>
      <c r="M9" s="110" t="s">
        <v>26</v>
      </c>
      <c r="N9" s="110">
        <v>45</v>
      </c>
      <c r="O9" s="110"/>
      <c r="P9" s="110"/>
      <c r="Q9" s="110"/>
      <c r="R9" s="110"/>
      <c r="S9" s="110" t="s">
        <v>26</v>
      </c>
      <c r="T9" s="110">
        <v>-2.1</v>
      </c>
      <c r="U9" s="110"/>
      <c r="V9" s="110"/>
      <c r="W9" s="110"/>
      <c r="X9" s="110"/>
      <c r="Y9" s="109"/>
      <c r="Z9" s="109"/>
      <c r="AA9" s="109"/>
      <c r="AB9" s="109"/>
      <c r="AC9" s="109"/>
      <c r="AD9" s="109"/>
      <c r="AE9" s="109"/>
      <c r="AF9" s="109"/>
      <c r="AG9" s="109"/>
      <c r="AH9" s="109"/>
      <c r="AI9" s="109"/>
      <c r="AJ9" s="106"/>
      <c r="AK9" s="106"/>
      <c r="AL9" s="106"/>
      <c r="AM9" s="106"/>
      <c r="AN9" s="106"/>
      <c r="AO9" s="106"/>
      <c r="AP9" s="106"/>
    </row>
    <row r="10" spans="2:42" ht="18.75">
      <c r="B10" s="10" t="s">
        <v>2</v>
      </c>
      <c r="C10" s="12" t="s">
        <v>8</v>
      </c>
      <c r="D10" s="62" t="s">
        <v>61</v>
      </c>
      <c r="E10" s="62"/>
      <c r="K10" s="106"/>
      <c r="L10" s="106"/>
      <c r="M10" s="110"/>
      <c r="N10" s="110"/>
      <c r="O10" s="110"/>
      <c r="P10" s="110"/>
      <c r="Q10" s="110"/>
      <c r="R10" s="110"/>
      <c r="S10" s="110"/>
      <c r="T10" s="110"/>
      <c r="U10" s="110"/>
      <c r="V10" s="110"/>
      <c r="W10" s="110"/>
      <c r="X10" s="110"/>
      <c r="Y10" s="109"/>
      <c r="Z10" s="109"/>
      <c r="AA10" s="109"/>
      <c r="AB10" s="109"/>
      <c r="AC10" s="109"/>
      <c r="AD10" s="109"/>
      <c r="AE10" s="109"/>
      <c r="AF10" s="109"/>
      <c r="AG10" s="109"/>
      <c r="AH10" s="109"/>
      <c r="AI10" s="109"/>
      <c r="AJ10" s="106"/>
      <c r="AK10" s="106"/>
      <c r="AL10" s="106"/>
      <c r="AM10" s="106"/>
      <c r="AN10" s="106"/>
      <c r="AO10" s="106"/>
      <c r="AP10" s="106"/>
    </row>
    <row r="11" spans="2:42" ht="15.75">
      <c r="B11" s="10" t="s">
        <v>3</v>
      </c>
      <c r="C11" s="12" t="s">
        <v>8</v>
      </c>
      <c r="D11" s="11" t="s">
        <v>62</v>
      </c>
      <c r="E11" s="17" t="s">
        <v>28</v>
      </c>
      <c r="K11" s="106"/>
      <c r="L11" s="106"/>
      <c r="M11" s="110"/>
      <c r="N11" s="110"/>
      <c r="O11" s="110"/>
      <c r="P11" s="110"/>
      <c r="Q11" s="110"/>
      <c r="R11" s="110"/>
      <c r="S11" s="110"/>
      <c r="T11" s="110"/>
      <c r="U11" s="110"/>
      <c r="V11" s="110"/>
      <c r="W11" s="110"/>
      <c r="X11" s="110"/>
      <c r="Y11" s="109"/>
      <c r="Z11" s="109"/>
      <c r="AA11" s="109"/>
      <c r="AB11" s="109"/>
      <c r="AC11" s="109"/>
      <c r="AD11" s="109"/>
      <c r="AE11" s="109"/>
      <c r="AF11" s="109"/>
      <c r="AG11" s="109"/>
      <c r="AH11" s="109"/>
      <c r="AI11" s="109"/>
      <c r="AJ11" s="106"/>
      <c r="AK11" s="106"/>
      <c r="AL11" s="106"/>
      <c r="AM11" s="106"/>
      <c r="AN11" s="106"/>
      <c r="AO11" s="106"/>
      <c r="AP11" s="106"/>
    </row>
    <row r="12" spans="2:42" ht="15.75">
      <c r="B12" s="9"/>
      <c r="D12" s="5"/>
      <c r="E12" s="55"/>
      <c r="K12" s="106"/>
      <c r="L12" s="106"/>
      <c r="M12" s="110"/>
      <c r="N12" s="110"/>
      <c r="O12" s="110"/>
      <c r="P12" s="110"/>
      <c r="Q12" s="110"/>
      <c r="R12" s="110"/>
      <c r="S12" s="110"/>
      <c r="T12" s="110"/>
      <c r="U12" s="110"/>
      <c r="V12" s="110"/>
      <c r="W12" s="110"/>
      <c r="X12" s="110"/>
      <c r="Y12" s="109"/>
      <c r="Z12" s="109"/>
      <c r="AA12" s="109"/>
      <c r="AB12" s="109"/>
      <c r="AC12" s="109"/>
      <c r="AD12" s="109"/>
      <c r="AE12" s="109"/>
      <c r="AF12" s="109"/>
      <c r="AG12" s="109"/>
      <c r="AH12" s="109"/>
      <c r="AI12" s="109"/>
      <c r="AJ12" s="106"/>
      <c r="AK12" s="106"/>
      <c r="AL12" s="106"/>
      <c r="AM12" s="106"/>
      <c r="AN12" s="106"/>
      <c r="AO12" s="106"/>
      <c r="AP12" s="106"/>
    </row>
    <row r="13" spans="2:42" ht="19.5" thickBot="1">
      <c r="B13" s="60" t="s">
        <v>40</v>
      </c>
      <c r="C13" s="60"/>
      <c r="D13" s="62" t="s">
        <v>45</v>
      </c>
      <c r="E13" s="62"/>
      <c r="K13" s="106"/>
      <c r="L13" s="106"/>
      <c r="M13" s="110"/>
      <c r="N13" s="110"/>
      <c r="O13" s="110"/>
      <c r="P13" s="110"/>
      <c r="Q13" s="110"/>
      <c r="R13" s="110"/>
      <c r="S13" s="110"/>
      <c r="T13" s="110"/>
      <c r="U13" s="110"/>
      <c r="V13" s="110"/>
      <c r="W13" s="110"/>
      <c r="X13" s="110"/>
      <c r="Y13" s="109"/>
      <c r="Z13" s="109"/>
      <c r="AA13" s="109"/>
      <c r="AB13" s="109"/>
      <c r="AC13" s="109"/>
      <c r="AD13" s="109"/>
      <c r="AE13" s="109"/>
      <c r="AF13" s="109"/>
      <c r="AG13" s="109"/>
      <c r="AH13" s="109"/>
      <c r="AI13" s="109"/>
      <c r="AJ13" s="106"/>
      <c r="AK13" s="106"/>
      <c r="AL13" s="106"/>
      <c r="AM13" s="106"/>
      <c r="AN13" s="106"/>
      <c r="AO13" s="106"/>
      <c r="AP13" s="106"/>
    </row>
    <row r="14" spans="2:42" ht="15.75">
      <c r="B14" s="10" t="s">
        <v>41</v>
      </c>
      <c r="C14" s="13">
        <v>2.47</v>
      </c>
      <c r="D14" s="14" t="s">
        <v>13</v>
      </c>
      <c r="E14" s="2" t="str">
        <f>IF(Z20=0,Z22,Z20&amp;"  "&amp;Z22)</f>
        <v>4  1/2</v>
      </c>
      <c r="K14" s="106"/>
      <c r="L14" s="106"/>
      <c r="M14" s="110"/>
      <c r="N14" s="110"/>
      <c r="O14" s="110"/>
      <c r="P14" s="110"/>
      <c r="Q14" s="110"/>
      <c r="R14" s="110"/>
      <c r="S14" s="110"/>
      <c r="T14" s="110"/>
      <c r="U14" s="110"/>
      <c r="V14" s="110"/>
      <c r="W14" s="110"/>
      <c r="X14" s="110"/>
      <c r="Y14" s="109"/>
      <c r="Z14" s="109"/>
      <c r="AA14" s="109"/>
      <c r="AB14" s="109"/>
      <c r="AC14" s="109"/>
      <c r="AD14" s="109"/>
      <c r="AE14" s="109"/>
      <c r="AF14" s="109"/>
      <c r="AG14" s="109"/>
      <c r="AH14" s="109"/>
      <c r="AI14" s="109"/>
      <c r="AJ14" s="106"/>
      <c r="AK14" s="106"/>
      <c r="AL14" s="106"/>
      <c r="AM14" s="106"/>
      <c r="AN14" s="106"/>
      <c r="AO14" s="106"/>
      <c r="AP14" s="106"/>
    </row>
    <row r="15" spans="2:42" ht="15.75">
      <c r="B15" s="10" t="s">
        <v>11</v>
      </c>
      <c r="C15" s="13">
        <v>0.058</v>
      </c>
      <c r="D15" s="15" t="s">
        <v>14</v>
      </c>
      <c r="E15" s="3" t="str">
        <f>IF(AA20=0,AA22,AA20&amp;"  "&amp;AA22)</f>
        <v>4  </v>
      </c>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row>
    <row r="16" spans="2:42" ht="16.5" thickBot="1">
      <c r="B16" s="10" t="s">
        <v>12</v>
      </c>
      <c r="C16" s="13">
        <v>0.028</v>
      </c>
      <c r="D16" s="16" t="s">
        <v>15</v>
      </c>
      <c r="E16" s="4" t="str">
        <f>IF(AB20=0,AB22,AB20&amp;"  "&amp;AB22)</f>
        <v>2  3/8</v>
      </c>
      <c r="K16" s="106"/>
      <c r="L16" s="106"/>
      <c r="M16" s="106"/>
      <c r="N16" s="106"/>
      <c r="O16" s="106"/>
      <c r="P16" s="109"/>
      <c r="Q16" s="109"/>
      <c r="R16" s="109"/>
      <c r="S16" s="109"/>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row>
    <row r="17" spans="11:42" ht="15">
      <c r="K17" s="106"/>
      <c r="L17" s="106"/>
      <c r="M17" s="106"/>
      <c r="N17" s="106"/>
      <c r="O17" s="106"/>
      <c r="P17" s="109"/>
      <c r="Q17" s="109"/>
      <c r="R17" s="109"/>
      <c r="S17" s="109"/>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row>
    <row r="18" spans="11:42" ht="15">
      <c r="K18" s="106"/>
      <c r="L18" s="106"/>
      <c r="M18" s="106"/>
      <c r="N18" s="106"/>
      <c r="O18" s="106"/>
      <c r="P18" s="109"/>
      <c r="Q18" s="109"/>
      <c r="R18" s="109"/>
      <c r="S18" s="109"/>
      <c r="T18" s="106"/>
      <c r="U18" s="106"/>
      <c r="V18" s="106"/>
      <c r="W18" s="106"/>
      <c r="X18" s="106"/>
      <c r="Y18" s="106"/>
      <c r="Z18" s="106"/>
      <c r="AA18" s="106"/>
      <c r="AB18" s="106"/>
      <c r="AC18" s="106"/>
      <c r="AD18" s="106"/>
      <c r="AE18" s="113"/>
      <c r="AF18" s="113"/>
      <c r="AG18" s="113"/>
      <c r="AH18" s="106"/>
      <c r="AI18" s="106"/>
      <c r="AJ18" s="106"/>
      <c r="AK18" s="106"/>
      <c r="AL18" s="106"/>
      <c r="AM18" s="106"/>
      <c r="AN18" s="106"/>
      <c r="AO18" s="106"/>
      <c r="AP18" s="106"/>
    </row>
    <row r="19" spans="11:42" ht="15">
      <c r="K19" s="106"/>
      <c r="L19" s="106"/>
      <c r="M19" s="106"/>
      <c r="N19" s="106"/>
      <c r="O19" s="106"/>
      <c r="P19" s="109"/>
      <c r="Q19" s="109"/>
      <c r="R19" s="109"/>
      <c r="S19" s="109"/>
      <c r="T19" s="106"/>
      <c r="U19" s="106"/>
      <c r="V19" s="106"/>
      <c r="W19" s="106"/>
      <c r="X19" s="106"/>
      <c r="Y19" s="106"/>
      <c r="Z19" s="114">
        <f>AE50</f>
        <v>4.533333333333333</v>
      </c>
      <c r="AA19" s="114">
        <f>IF(AA45&gt;6.5,6.5,AA45)</f>
        <v>4.0474446024756885</v>
      </c>
      <c r="AB19" s="115">
        <f>IF(AL22&lt;0.5,0.5,IF(AL22&gt;(Z20-0.5),Z20-0.5,AL22))</f>
        <v>2.4439141587422286</v>
      </c>
      <c r="AC19" s="106"/>
      <c r="AD19" s="106"/>
      <c r="AE19" s="106"/>
      <c r="AF19" s="106"/>
      <c r="AG19" s="106"/>
      <c r="AH19" s="106"/>
      <c r="AI19" s="106"/>
      <c r="AJ19" s="106"/>
      <c r="AK19" s="106"/>
      <c r="AL19" s="106"/>
      <c r="AM19" s="106"/>
      <c r="AN19" s="106"/>
      <c r="AO19" s="106"/>
      <c r="AP19" s="106"/>
    </row>
    <row r="20" spans="11:42" ht="15">
      <c r="K20" s="106"/>
      <c r="L20" s="106"/>
      <c r="M20" s="106"/>
      <c r="N20" s="106"/>
      <c r="O20" s="106"/>
      <c r="P20" s="110"/>
      <c r="Q20" s="116"/>
      <c r="R20" s="110"/>
      <c r="S20" s="116"/>
      <c r="T20" s="113"/>
      <c r="U20" s="106"/>
      <c r="V20" s="106"/>
      <c r="W20" s="106"/>
      <c r="X20" s="106"/>
      <c r="Y20" s="106"/>
      <c r="Z20" s="115">
        <f>Z19-MOD(Z19,1)</f>
        <v>4</v>
      </c>
      <c r="AA20" s="115">
        <f>AA19-MOD(AA19,1)</f>
        <v>4</v>
      </c>
      <c r="AB20" s="115">
        <f>AB19-MOD(AB19,1)</f>
        <v>2</v>
      </c>
      <c r="AC20" s="106"/>
      <c r="AD20" s="106"/>
      <c r="AE20" s="106">
        <f>VLS™!$E$4</f>
        <v>5.25</v>
      </c>
      <c r="AF20" s="106">
        <f>VLS™!$E$5</f>
        <v>0.25</v>
      </c>
      <c r="AG20" s="106">
        <f>VLOOKUP(VLS™!$E$8,S3:T14,2,FALSE)+VLOOKUP(VLS™!$C$7,U3:V14,2,FALSE)+VLOOKUP(VLS™!$C$6,W3:X14,2,FALSE)</f>
        <v>0</v>
      </c>
      <c r="AH20" s="106"/>
      <c r="AI20" s="117"/>
      <c r="AJ20" s="106"/>
      <c r="AK20" s="106"/>
      <c r="AL20" s="106"/>
      <c r="AM20" s="106"/>
      <c r="AN20" s="106"/>
      <c r="AO20" s="106"/>
      <c r="AP20" s="106"/>
    </row>
    <row r="21" spans="11:42" ht="15">
      <c r="K21" s="106"/>
      <c r="L21" s="106"/>
      <c r="M21" s="106"/>
      <c r="N21" s="106"/>
      <c r="O21" s="106"/>
      <c r="P21" s="110"/>
      <c r="Q21" s="116"/>
      <c r="R21" s="110"/>
      <c r="S21" s="116"/>
      <c r="T21" s="113"/>
      <c r="U21" s="106"/>
      <c r="V21" s="106"/>
      <c r="W21" s="106"/>
      <c r="X21" s="106"/>
      <c r="Y21" s="106"/>
      <c r="Z21" s="115">
        <f>((Z19-MOD(Z19,0.125))-Z20)/0.125</f>
        <v>4</v>
      </c>
      <c r="AA21" s="115">
        <f>((AA19-MOD(AA19,0.125))-AA20)/0.125</f>
        <v>0</v>
      </c>
      <c r="AB21" s="115">
        <f>((AB19-MOD(AB19,0.125))-AB20)/0.125</f>
        <v>3</v>
      </c>
      <c r="AC21" s="106"/>
      <c r="AD21" s="106"/>
      <c r="AE21" s="106"/>
      <c r="AF21" s="106"/>
      <c r="AG21" s="106"/>
      <c r="AH21" s="106"/>
      <c r="AI21" s="106"/>
      <c r="AJ21" s="106"/>
      <c r="AK21" s="106"/>
      <c r="AL21" s="106"/>
      <c r="AM21" s="106"/>
      <c r="AN21" s="106"/>
      <c r="AO21" s="106"/>
      <c r="AP21" s="106"/>
    </row>
    <row r="22" spans="11:42" ht="15">
      <c r="K22" s="106"/>
      <c r="L22" s="106"/>
      <c r="M22" s="106"/>
      <c r="N22" s="106"/>
      <c r="O22" s="106"/>
      <c r="P22" s="109"/>
      <c r="Q22" s="109"/>
      <c r="R22" s="109"/>
      <c r="S22" s="109"/>
      <c r="T22" s="106"/>
      <c r="U22" s="106"/>
      <c r="V22" s="106"/>
      <c r="W22" s="106"/>
      <c r="X22" s="106"/>
      <c r="Y22" s="106"/>
      <c r="Z22" s="115" t="str">
        <f>IF(Z21=4,"1/2",IF(Z21=0,"",IF(MOD(Z21,2)=0,(Z21/2)&amp;"/4",Z21&amp;"/8")))</f>
        <v>1/2</v>
      </c>
      <c r="AA22" s="115">
        <f>IF(AA21=4,"1/2",IF(AA21=0,"",IF(MOD(AA21,2)=0,(AA21/2)&amp;"/4",AA21&amp;"/8")))</f>
      </c>
      <c r="AB22" s="115" t="str">
        <f>IF(AB21=4,"1/2",IF(AB21=0,"",IF(MOD(AB21,2)=0,(AB21/2)&amp;"/4",AB21&amp;"/8")))</f>
        <v>3/8</v>
      </c>
      <c r="AC22" s="106"/>
      <c r="AD22" s="106"/>
      <c r="AE22" s="106"/>
      <c r="AF22" s="106"/>
      <c r="AG22" s="106"/>
      <c r="AH22" s="106">
        <f>AG20-AF20</f>
        <v>-0.25</v>
      </c>
      <c r="AI22" s="106">
        <f>IF(AH22&gt;0,AH23-AE34,IF(AH22=0,AH23,180-AE34-AH23))</f>
        <v>32.62230528758292</v>
      </c>
      <c r="AJ22" s="106">
        <f>SIN(AI22*(PI()/180))</f>
        <v>0.5390987114872563</v>
      </c>
      <c r="AK22" s="106">
        <f>Z19</f>
        <v>4.533333333333333</v>
      </c>
      <c r="AL22" s="106">
        <f>AJ22*AK22</f>
        <v>2.4439141587422286</v>
      </c>
      <c r="AM22" s="106"/>
      <c r="AN22" s="106"/>
      <c r="AO22" s="106"/>
      <c r="AP22" s="106"/>
    </row>
    <row r="23" spans="11:42" ht="15">
      <c r="K23" s="106"/>
      <c r="L23" s="106"/>
      <c r="M23" s="106"/>
      <c r="N23" s="106"/>
      <c r="O23" s="106"/>
      <c r="P23" s="109"/>
      <c r="Q23" s="109"/>
      <c r="R23" s="109"/>
      <c r="S23" s="109"/>
      <c r="T23" s="109"/>
      <c r="U23" s="109"/>
      <c r="V23" s="109"/>
      <c r="W23" s="109"/>
      <c r="X23" s="109"/>
      <c r="Y23" s="109">
        <f>AF48</f>
        <v>3.407645605731628</v>
      </c>
      <c r="Z23" s="106"/>
      <c r="AA23" s="106"/>
      <c r="AB23" s="106"/>
      <c r="AC23" s="106"/>
      <c r="AD23" s="106"/>
      <c r="AE23" s="106"/>
      <c r="AF23" s="106"/>
      <c r="AG23" s="106"/>
      <c r="AH23" s="106">
        <f>IF(AH22=0,90-AE34,ATAN(ABS(AE20)/ABS(AH22))*180/PI())</f>
        <v>87.27368900609375</v>
      </c>
      <c r="AI23" s="106"/>
      <c r="AJ23" s="106"/>
      <c r="AK23" s="106"/>
      <c r="AL23" s="106"/>
      <c r="AM23" s="106"/>
      <c r="AN23" s="106"/>
      <c r="AO23" s="106"/>
      <c r="AP23" s="106"/>
    </row>
    <row r="24" spans="11:42" ht="15">
      <c r="K24" s="106"/>
      <c r="L24" s="106"/>
      <c r="M24" s="106"/>
      <c r="N24" s="106"/>
      <c r="O24" s="106"/>
      <c r="P24" s="106"/>
      <c r="Q24" s="109"/>
      <c r="R24" s="109"/>
      <c r="S24" s="109"/>
      <c r="T24" s="109"/>
      <c r="U24" s="109"/>
      <c r="V24" s="109"/>
      <c r="W24" s="109"/>
      <c r="X24" s="109">
        <f>VLOOKUP(VLS™!$C$10,M3:N14,2,FALSE)</f>
        <v>38</v>
      </c>
      <c r="Y24" s="109"/>
      <c r="Z24" s="106"/>
      <c r="AA24" s="106"/>
      <c r="AB24" s="106"/>
      <c r="AC24" s="106"/>
      <c r="AD24" s="106"/>
      <c r="AE24" s="106"/>
      <c r="AF24" s="106"/>
      <c r="AG24" s="106"/>
      <c r="AH24" s="106"/>
      <c r="AI24" s="106"/>
      <c r="AJ24" s="106"/>
      <c r="AK24" s="106"/>
      <c r="AL24" s="106"/>
      <c r="AM24" s="106"/>
      <c r="AN24" s="106"/>
      <c r="AO24" s="106"/>
      <c r="AP24" s="106"/>
    </row>
    <row r="25" spans="11:42" ht="15">
      <c r="K25" s="106"/>
      <c r="L25" s="106"/>
      <c r="M25" s="106"/>
      <c r="N25" s="106"/>
      <c r="O25" s="106"/>
      <c r="P25" s="113"/>
      <c r="Q25" s="116"/>
      <c r="R25" s="109"/>
      <c r="S25" s="109"/>
      <c r="T25" s="109"/>
      <c r="U25" s="109"/>
      <c r="V25" s="109"/>
      <c r="W25" s="109"/>
      <c r="X25" s="109">
        <f>VLOOKUP(VLS™!$C$11,O3:P14,2,FALSE)+VLOOKUP(VLS™!$E$11,Q3:R14,2,FALSE)</f>
        <v>0</v>
      </c>
      <c r="Y25" s="109"/>
      <c r="Z25" s="106"/>
      <c r="AA25" s="106"/>
      <c r="AB25" s="106"/>
      <c r="AC25" s="106"/>
      <c r="AD25" s="106"/>
      <c r="AE25" s="106"/>
      <c r="AF25" s="106"/>
      <c r="AG25" s="106"/>
      <c r="AH25" s="106"/>
      <c r="AI25" s="106"/>
      <c r="AJ25" s="106"/>
      <c r="AK25" s="106"/>
      <c r="AL25" s="106"/>
      <c r="AM25" s="106"/>
      <c r="AN25" s="106"/>
      <c r="AO25" s="106"/>
      <c r="AP25" s="106"/>
    </row>
    <row r="26" spans="3:42" ht="15">
      <c r="C26" s="59" t="s">
        <v>65</v>
      </c>
      <c r="D26" s="59"/>
      <c r="E26" s="8" t="s">
        <v>64</v>
      </c>
      <c r="K26" s="106"/>
      <c r="L26" s="106"/>
      <c r="M26" s="106"/>
      <c r="N26" s="106"/>
      <c r="O26" s="106"/>
      <c r="P26" s="113"/>
      <c r="Q26" s="116"/>
      <c r="R26" s="110"/>
      <c r="S26" s="109"/>
      <c r="T26" s="109"/>
      <c r="U26" s="109"/>
      <c r="V26" s="109"/>
      <c r="W26" s="109"/>
      <c r="X26" s="109">
        <f>X24+X25</f>
        <v>38</v>
      </c>
      <c r="Y26" s="109"/>
      <c r="Z26" s="106"/>
      <c r="AA26" s="106"/>
      <c r="AB26" s="106"/>
      <c r="AC26" s="106"/>
      <c r="AD26" s="106"/>
      <c r="AE26" s="106"/>
      <c r="AF26" s="106"/>
      <c r="AG26" s="106"/>
      <c r="AH26" s="106"/>
      <c r="AI26" s="106"/>
      <c r="AJ26" s="106"/>
      <c r="AK26" s="106"/>
      <c r="AL26" s="106"/>
      <c r="AM26" s="106"/>
      <c r="AN26" s="106"/>
      <c r="AO26" s="106"/>
      <c r="AP26" s="106"/>
    </row>
    <row r="27" spans="11:42" ht="15">
      <c r="K27" s="106"/>
      <c r="L27" s="106"/>
      <c r="M27" s="106"/>
      <c r="N27" s="106"/>
      <c r="O27" s="106"/>
      <c r="P27" s="106"/>
      <c r="Q27" s="109"/>
      <c r="R27" s="109"/>
      <c r="S27" s="109"/>
      <c r="T27" s="109"/>
      <c r="U27" s="109"/>
      <c r="V27" s="109"/>
      <c r="W27" s="109"/>
      <c r="X27" s="109"/>
      <c r="Y27" s="109"/>
      <c r="Z27" s="106"/>
      <c r="AA27" s="106"/>
      <c r="AB27" s="106"/>
      <c r="AC27" s="106"/>
      <c r="AD27" s="106"/>
      <c r="AE27" s="106"/>
      <c r="AF27" s="106"/>
      <c r="AG27" s="106"/>
      <c r="AH27" s="106"/>
      <c r="AI27" s="106"/>
      <c r="AJ27" s="106"/>
      <c r="AK27" s="106"/>
      <c r="AL27" s="106"/>
      <c r="AM27" s="106"/>
      <c r="AN27" s="106"/>
      <c r="AO27" s="106"/>
      <c r="AP27" s="106"/>
    </row>
    <row r="28" spans="11:42" ht="15">
      <c r="K28" s="106"/>
      <c r="L28" s="106"/>
      <c r="M28" s="106"/>
      <c r="N28" s="106"/>
      <c r="O28" s="106"/>
      <c r="P28" s="106"/>
      <c r="Q28" s="109"/>
      <c r="R28" s="109"/>
      <c r="S28" s="109"/>
      <c r="T28" s="109"/>
      <c r="U28" s="109"/>
      <c r="V28" s="109"/>
      <c r="W28" s="109"/>
      <c r="X28" s="110">
        <f>X26</f>
        <v>38</v>
      </c>
      <c r="Y28" s="109">
        <f>X28/X29</f>
        <v>0.6333333333333333</v>
      </c>
      <c r="Z28" s="106"/>
      <c r="AA28" s="106">
        <f>Y28*Y23</f>
        <v>2.1581755502966975</v>
      </c>
      <c r="AB28" s="106"/>
      <c r="AC28" s="106"/>
      <c r="AD28" s="106"/>
      <c r="AE28" s="106"/>
      <c r="AF28" s="106"/>
      <c r="AG28" s="106"/>
      <c r="AH28" s="106"/>
      <c r="AI28" s="106"/>
      <c r="AJ28" s="106"/>
      <c r="AK28" s="106"/>
      <c r="AL28" s="106"/>
      <c r="AM28" s="106"/>
      <c r="AN28" s="106"/>
      <c r="AO28" s="106"/>
      <c r="AP28" s="106"/>
    </row>
    <row r="29" spans="2:42" ht="15" customHeight="1">
      <c r="B29" s="53" t="s">
        <v>92</v>
      </c>
      <c r="C29" s="56" t="s">
        <v>95</v>
      </c>
      <c r="D29" s="56"/>
      <c r="E29" s="56"/>
      <c r="K29" s="106"/>
      <c r="L29" s="106"/>
      <c r="M29" s="106"/>
      <c r="N29" s="106"/>
      <c r="O29" s="106"/>
      <c r="P29" s="106"/>
      <c r="Q29" s="109"/>
      <c r="R29" s="109"/>
      <c r="S29" s="109"/>
      <c r="T29" s="109"/>
      <c r="U29" s="109"/>
      <c r="V29" s="109"/>
      <c r="W29" s="109"/>
      <c r="X29" s="110">
        <v>60</v>
      </c>
      <c r="Y29" s="109"/>
      <c r="Z29" s="106"/>
      <c r="AA29" s="106">
        <f>Y23-AA28</f>
        <v>1.2494700554349305</v>
      </c>
      <c r="AB29" s="106"/>
      <c r="AC29" s="106"/>
      <c r="AD29" s="106"/>
      <c r="AE29" s="106"/>
      <c r="AF29" s="106"/>
      <c r="AG29" s="106"/>
      <c r="AH29" s="106"/>
      <c r="AI29" s="106"/>
      <c r="AJ29" s="106"/>
      <c r="AK29" s="106"/>
      <c r="AL29" s="106"/>
      <c r="AM29" s="106"/>
      <c r="AN29" s="106"/>
      <c r="AO29" s="106"/>
      <c r="AP29" s="106"/>
    </row>
    <row r="30" spans="3:42" ht="15">
      <c r="C30" s="56"/>
      <c r="D30" s="56"/>
      <c r="E30" s="56"/>
      <c r="K30" s="106"/>
      <c r="L30" s="106"/>
      <c r="M30" s="106"/>
      <c r="N30" s="106"/>
      <c r="O30" s="106"/>
      <c r="P30" s="113"/>
      <c r="Q30" s="116"/>
      <c r="R30" s="110"/>
      <c r="S30" s="109"/>
      <c r="T30" s="108">
        <f>U30/U31</f>
        <v>0.48275862068965514</v>
      </c>
      <c r="U30" s="109">
        <f>AE3</f>
        <v>0.028</v>
      </c>
      <c r="V30" s="109"/>
      <c r="W30" s="109"/>
      <c r="X30" s="109"/>
      <c r="Y30" s="109"/>
      <c r="Z30" s="106"/>
      <c r="AA30" s="106"/>
      <c r="AB30" s="106"/>
      <c r="AC30" s="106"/>
      <c r="AD30" s="106"/>
      <c r="AE30" s="106"/>
      <c r="AF30" s="106"/>
      <c r="AG30" s="106"/>
      <c r="AH30" s="106"/>
      <c r="AI30" s="106"/>
      <c r="AJ30" s="106"/>
      <c r="AK30" s="106"/>
      <c r="AL30" s="106"/>
      <c r="AM30" s="106"/>
      <c r="AN30" s="106"/>
      <c r="AO30" s="106"/>
      <c r="AP30" s="106"/>
    </row>
    <row r="31" spans="3:42" ht="15">
      <c r="C31" s="56"/>
      <c r="D31" s="56"/>
      <c r="E31" s="56"/>
      <c r="K31" s="106"/>
      <c r="L31" s="106"/>
      <c r="M31" s="106"/>
      <c r="N31" s="106"/>
      <c r="O31" s="106"/>
      <c r="P31" s="113"/>
      <c r="Q31" s="116"/>
      <c r="R31" s="110"/>
      <c r="S31" s="109"/>
      <c r="T31" s="108"/>
      <c r="U31" s="109">
        <f>AD3</f>
        <v>0.058</v>
      </c>
      <c r="V31" s="109"/>
      <c r="W31" s="109"/>
      <c r="X31" s="109"/>
      <c r="Y31" s="109"/>
      <c r="Z31" s="106"/>
      <c r="AA31" s="106">
        <f>AA28/X40</f>
        <v>0.09188249027117272</v>
      </c>
      <c r="AB31" s="106">
        <f>AA31*360*AC31</f>
        <v>37.86825943865711</v>
      </c>
      <c r="AC31" s="106">
        <f>((T30/0.5)*0.15)+1</f>
        <v>1.1448275862068966</v>
      </c>
      <c r="AD31" s="106"/>
      <c r="AE31" s="106"/>
      <c r="AF31" s="106"/>
      <c r="AG31" s="106"/>
      <c r="AH31" s="106"/>
      <c r="AI31" s="106"/>
      <c r="AJ31" s="106"/>
      <c r="AK31" s="106"/>
      <c r="AL31" s="106"/>
      <c r="AM31" s="106"/>
      <c r="AN31" s="106"/>
      <c r="AO31" s="106"/>
      <c r="AP31" s="106"/>
    </row>
    <row r="32" spans="11:42" ht="15">
      <c r="K32" s="106"/>
      <c r="L32" s="106"/>
      <c r="M32" s="106"/>
      <c r="N32" s="106"/>
      <c r="O32" s="106"/>
      <c r="P32" s="106"/>
      <c r="Q32" s="109"/>
      <c r="R32" s="109"/>
      <c r="S32" s="109"/>
      <c r="T32" s="109"/>
      <c r="U32" s="109"/>
      <c r="V32" s="109"/>
      <c r="W32" s="109"/>
      <c r="X32" s="109"/>
      <c r="Y32" s="109"/>
      <c r="Z32" s="106"/>
      <c r="AA32" s="106">
        <f>AA29/X40</f>
        <v>0.053195125946468434</v>
      </c>
      <c r="AB32" s="106">
        <f>AA32*360*AC32</f>
        <v>21.923729148696232</v>
      </c>
      <c r="AC32" s="106">
        <f>((T30/0.5)*0.15)+1</f>
        <v>1.1448275862068966</v>
      </c>
      <c r="AD32" s="106"/>
      <c r="AE32" s="106">
        <f>AB31+AB32</f>
        <v>59.791988587353345</v>
      </c>
      <c r="AF32" s="115"/>
      <c r="AG32" s="106">
        <v>180</v>
      </c>
      <c r="AH32" s="106"/>
      <c r="AI32" s="106"/>
      <c r="AJ32" s="106"/>
      <c r="AK32" s="106"/>
      <c r="AL32" s="106"/>
      <c r="AM32" s="106"/>
      <c r="AN32" s="106"/>
      <c r="AO32" s="106"/>
      <c r="AP32" s="106"/>
    </row>
    <row r="33" spans="11:42" ht="15">
      <c r="K33" s="106"/>
      <c r="L33" s="106"/>
      <c r="M33" s="106"/>
      <c r="N33" s="106"/>
      <c r="O33" s="106"/>
      <c r="P33" s="106"/>
      <c r="Q33" s="109"/>
      <c r="R33" s="109"/>
      <c r="S33" s="109"/>
      <c r="T33" s="109"/>
      <c r="U33" s="109"/>
      <c r="V33" s="109"/>
      <c r="W33" s="109"/>
      <c r="X33" s="109"/>
      <c r="Y33" s="109"/>
      <c r="Z33" s="106"/>
      <c r="AA33" s="106"/>
      <c r="AB33" s="106"/>
      <c r="AC33" s="106"/>
      <c r="AD33" s="106"/>
      <c r="AE33" s="106"/>
      <c r="AF33" s="106"/>
      <c r="AG33" s="106"/>
      <c r="AH33" s="106"/>
      <c r="AI33" s="106"/>
      <c r="AJ33" s="106"/>
      <c r="AK33" s="106"/>
      <c r="AL33" s="106"/>
      <c r="AM33" s="106"/>
      <c r="AN33" s="106"/>
      <c r="AO33" s="106"/>
      <c r="AP33" s="106"/>
    </row>
    <row r="34" spans="11:42" ht="15">
      <c r="K34" s="106"/>
      <c r="L34" s="106"/>
      <c r="M34" s="106"/>
      <c r="N34" s="106"/>
      <c r="O34" s="106"/>
      <c r="P34" s="106"/>
      <c r="Q34" s="109"/>
      <c r="R34" s="109"/>
      <c r="S34" s="109"/>
      <c r="T34" s="109"/>
      <c r="U34" s="109"/>
      <c r="V34" s="109"/>
      <c r="W34" s="109"/>
      <c r="X34" s="109"/>
      <c r="Y34" s="109"/>
      <c r="Z34" s="106"/>
      <c r="AA34" s="106"/>
      <c r="AB34" s="106"/>
      <c r="AC34" s="106"/>
      <c r="AD34" s="106"/>
      <c r="AE34" s="106">
        <f>(180-AE32)/2</f>
        <v>60.10400570632333</v>
      </c>
      <c r="AF34" s="106"/>
      <c r="AG34" s="106"/>
      <c r="AH34" s="106"/>
      <c r="AI34" s="106"/>
      <c r="AJ34" s="106"/>
      <c r="AK34" s="106"/>
      <c r="AL34" s="106"/>
      <c r="AM34" s="106"/>
      <c r="AN34" s="106"/>
      <c r="AO34" s="106"/>
      <c r="AP34" s="106"/>
    </row>
    <row r="35" spans="11:42" ht="15">
      <c r="K35" s="106"/>
      <c r="L35" s="106"/>
      <c r="M35" s="106"/>
      <c r="N35" s="106"/>
      <c r="O35" s="106"/>
      <c r="P35" s="113"/>
      <c r="Q35" s="116"/>
      <c r="R35" s="109"/>
      <c r="S35" s="109"/>
      <c r="T35" s="109"/>
      <c r="U35" s="109"/>
      <c r="V35" s="109"/>
      <c r="W35" s="109"/>
      <c r="X35" s="109"/>
      <c r="Y35" s="109"/>
      <c r="Z35" s="106"/>
      <c r="AA35" s="106">
        <f>AB31</f>
        <v>37.86825943865711</v>
      </c>
      <c r="AB35" s="106"/>
      <c r="AC35" s="106"/>
      <c r="AD35" s="106"/>
      <c r="AE35" s="106"/>
      <c r="AF35" s="106"/>
      <c r="AG35" s="106"/>
      <c r="AH35" s="106"/>
      <c r="AI35" s="106"/>
      <c r="AJ35" s="106"/>
      <c r="AK35" s="106"/>
      <c r="AL35" s="106"/>
      <c r="AM35" s="106"/>
      <c r="AN35" s="106"/>
      <c r="AO35" s="106"/>
      <c r="AP35" s="106"/>
    </row>
    <row r="36" spans="11:42" ht="15">
      <c r="K36" s="106"/>
      <c r="L36" s="106"/>
      <c r="M36" s="106"/>
      <c r="N36" s="106"/>
      <c r="O36" s="106"/>
      <c r="P36" s="113"/>
      <c r="Q36" s="116"/>
      <c r="R36" s="109"/>
      <c r="S36" s="109"/>
      <c r="T36" s="109"/>
      <c r="U36" s="109"/>
      <c r="V36" s="109"/>
      <c r="W36" s="109"/>
      <c r="X36" s="109"/>
      <c r="Y36" s="109"/>
      <c r="Z36" s="106">
        <f>COS(AA35*(PI()/180))</f>
        <v>0.789424263793671</v>
      </c>
      <c r="AA36" s="106">
        <f>Z36*Z19</f>
        <v>3.578723329197975</v>
      </c>
      <c r="AB36" s="117"/>
      <c r="AC36" s="106"/>
      <c r="AD36" s="106">
        <f>POWER(AA36,2)+POWER(AA37,2)</f>
        <v>20.55111111111111</v>
      </c>
      <c r="AE36" s="106"/>
      <c r="AF36" s="106"/>
      <c r="AG36" s="106"/>
      <c r="AH36" s="106"/>
      <c r="AI36" s="106"/>
      <c r="AJ36" s="106"/>
      <c r="AK36" s="106"/>
      <c r="AL36" s="106"/>
      <c r="AM36" s="106"/>
      <c r="AN36" s="106"/>
      <c r="AO36" s="106"/>
      <c r="AP36" s="106"/>
    </row>
    <row r="37" spans="11:42" ht="15">
      <c r="K37" s="106"/>
      <c r="L37" s="106"/>
      <c r="M37" s="106"/>
      <c r="N37" s="106"/>
      <c r="O37" s="106"/>
      <c r="P37" s="106"/>
      <c r="Q37" s="109"/>
      <c r="R37" s="109"/>
      <c r="S37" s="109"/>
      <c r="T37" s="109"/>
      <c r="U37" s="109"/>
      <c r="V37" s="109"/>
      <c r="W37" s="109"/>
      <c r="X37" s="109"/>
      <c r="Y37" s="109"/>
      <c r="Z37" s="106">
        <f>SIN(AA35*(PI()/180))</f>
        <v>0.6138479711897894</v>
      </c>
      <c r="AA37" s="106">
        <f>Z37*Z19</f>
        <v>2.7827774693937117</v>
      </c>
      <c r="AB37" s="117"/>
      <c r="AC37" s="106"/>
      <c r="AD37" s="106"/>
      <c r="AE37" s="106"/>
      <c r="AF37" s="106"/>
      <c r="AG37" s="106"/>
      <c r="AH37" s="106"/>
      <c r="AI37" s="106"/>
      <c r="AJ37" s="106"/>
      <c r="AK37" s="106"/>
      <c r="AL37" s="106"/>
      <c r="AM37" s="106"/>
      <c r="AN37" s="106"/>
      <c r="AO37" s="106"/>
      <c r="AP37" s="106"/>
    </row>
    <row r="38" spans="11:42" ht="15">
      <c r="K38" s="106"/>
      <c r="L38" s="106"/>
      <c r="M38" s="106"/>
      <c r="N38" s="106"/>
      <c r="O38" s="106"/>
      <c r="P38" s="106"/>
      <c r="Q38" s="109"/>
      <c r="R38" s="109"/>
      <c r="S38" s="109"/>
      <c r="T38" s="109"/>
      <c r="U38" s="109"/>
      <c r="V38" s="109"/>
      <c r="W38" s="109"/>
      <c r="X38" s="109"/>
      <c r="Y38" s="109"/>
      <c r="Z38" s="106"/>
      <c r="AA38" s="106"/>
      <c r="AB38" s="106"/>
      <c r="AC38" s="106"/>
      <c r="AD38" s="106"/>
      <c r="AE38" s="106"/>
      <c r="AF38" s="106"/>
      <c r="AG38" s="106"/>
      <c r="AH38" s="106"/>
      <c r="AI38" s="106"/>
      <c r="AJ38" s="106"/>
      <c r="AK38" s="106"/>
      <c r="AL38" s="106"/>
      <c r="AM38" s="106"/>
      <c r="AN38" s="106"/>
      <c r="AO38" s="106"/>
      <c r="AP38" s="106"/>
    </row>
    <row r="39" spans="11:42" ht="15">
      <c r="K39" s="106"/>
      <c r="L39" s="106"/>
      <c r="M39" s="106"/>
      <c r="N39" s="106"/>
      <c r="O39" s="106"/>
      <c r="P39" s="106"/>
      <c r="Q39" s="109"/>
      <c r="R39" s="109"/>
      <c r="S39" s="109"/>
      <c r="T39" s="109"/>
      <c r="U39" s="109"/>
      <c r="V39" s="109"/>
      <c r="W39" s="109"/>
      <c r="X39" s="109"/>
      <c r="Y39" s="109"/>
      <c r="Z39" s="106">
        <f>2*PI()*V45</f>
        <v>27.001988857604275</v>
      </c>
      <c r="AA39" s="106">
        <f>Z39*(AB31/360)</f>
        <v>2.8403286650541313</v>
      </c>
      <c r="AB39" s="106">
        <f>6.75-Z19</f>
        <v>2.216666666666667</v>
      </c>
      <c r="AC39" s="106"/>
      <c r="AD39" s="106"/>
      <c r="AE39" s="106"/>
      <c r="AF39" s="106"/>
      <c r="AG39" s="106"/>
      <c r="AH39" s="106"/>
      <c r="AI39" s="106"/>
      <c r="AJ39" s="106"/>
      <c r="AK39" s="106"/>
      <c r="AL39" s="106"/>
      <c r="AM39" s="106"/>
      <c r="AN39" s="106"/>
      <c r="AO39" s="106"/>
      <c r="AP39" s="106"/>
    </row>
    <row r="40" spans="11:42" ht="15">
      <c r="K40" s="106"/>
      <c r="L40" s="106"/>
      <c r="M40" s="106"/>
      <c r="N40" s="106"/>
      <c r="O40" s="106"/>
      <c r="P40" s="115"/>
      <c r="Q40" s="110"/>
      <c r="R40" s="109"/>
      <c r="S40" s="109"/>
      <c r="T40" s="109"/>
      <c r="U40" s="109"/>
      <c r="V40" s="109"/>
      <c r="W40" s="109">
        <f>W48</f>
        <v>60.44444444444444</v>
      </c>
      <c r="X40" s="109">
        <f>2*PI()*W42</f>
        <v>23.488431189960956</v>
      </c>
      <c r="Y40" s="109"/>
      <c r="Z40" s="106"/>
      <c r="AA40" s="106">
        <f>POWER(AA39,2)</f>
        <v>8.067466925528183</v>
      </c>
      <c r="AB40" s="106">
        <f>POWER(AB39,2)</f>
        <v>4.913611111111112</v>
      </c>
      <c r="AC40" s="117"/>
      <c r="AD40" s="106"/>
      <c r="AE40" s="106">
        <f>AD3*100</f>
        <v>5.800000000000001</v>
      </c>
      <c r="AF40" s="106"/>
      <c r="AG40" s="106"/>
      <c r="AH40" s="106"/>
      <c r="AI40" s="106"/>
      <c r="AJ40" s="106"/>
      <c r="AK40" s="106"/>
      <c r="AL40" s="106"/>
      <c r="AM40" s="106"/>
      <c r="AN40" s="106"/>
      <c r="AO40" s="106"/>
      <c r="AP40" s="106"/>
    </row>
    <row r="41" spans="11:42" ht="15">
      <c r="K41" s="106"/>
      <c r="L41" s="106"/>
      <c r="M41" s="106"/>
      <c r="N41" s="106"/>
      <c r="O41" s="106"/>
      <c r="P41" s="113"/>
      <c r="Q41" s="116"/>
      <c r="R41" s="110"/>
      <c r="S41" s="116"/>
      <c r="T41" s="110"/>
      <c r="U41" s="116"/>
      <c r="V41" s="109"/>
      <c r="W41" s="109">
        <f>SIN(W40*(PI()/180))</f>
        <v>0.8698778195127714</v>
      </c>
      <c r="X41" s="109"/>
      <c r="Y41" s="109"/>
      <c r="Z41" s="106"/>
      <c r="AA41" s="106">
        <f>SQRT(AA40+AB40)</f>
        <v>3.602926315738263</v>
      </c>
      <c r="AB41" s="106"/>
      <c r="AC41" s="117"/>
      <c r="AD41" s="106"/>
      <c r="AE41" s="106">
        <f>-2.102*LN(AC3)+2.8946</f>
        <v>0.9939334473549601</v>
      </c>
      <c r="AF41" s="106" t="s">
        <v>18</v>
      </c>
      <c r="AG41" s="106"/>
      <c r="AH41" s="106"/>
      <c r="AI41" s="106"/>
      <c r="AJ41" s="106"/>
      <c r="AK41" s="106"/>
      <c r="AL41" s="106"/>
      <c r="AM41" s="106"/>
      <c r="AN41" s="106"/>
      <c r="AO41" s="106"/>
      <c r="AP41" s="106"/>
    </row>
    <row r="42" spans="11:42" ht="15">
      <c r="K42" s="106"/>
      <c r="L42" s="106"/>
      <c r="M42" s="106"/>
      <c r="N42" s="106"/>
      <c r="O42" s="106"/>
      <c r="P42" s="113"/>
      <c r="Q42" s="116"/>
      <c r="R42" s="110"/>
      <c r="S42" s="116"/>
      <c r="T42" s="110"/>
      <c r="U42" s="116"/>
      <c r="V42" s="109"/>
      <c r="W42" s="109">
        <f>W41*V45</f>
        <v>3.7382999293561356</v>
      </c>
      <c r="X42" s="109"/>
      <c r="Y42" s="109"/>
      <c r="Z42" s="106"/>
      <c r="AA42" s="106"/>
      <c r="AB42" s="106"/>
      <c r="AC42" s="106"/>
      <c r="AD42" s="106"/>
      <c r="AE42" s="106">
        <f>VLOOKUP(VLS™!$C$5,AA3:AB14,2,FALSE)/300</f>
        <v>1</v>
      </c>
      <c r="AF42" s="106">
        <f>AE42/AE43</f>
        <v>1</v>
      </c>
      <c r="AG42" s="106"/>
      <c r="AH42" s="106"/>
      <c r="AI42" s="106"/>
      <c r="AJ42" s="106"/>
      <c r="AK42" s="106"/>
      <c r="AL42" s="106"/>
      <c r="AM42" s="106"/>
      <c r="AN42" s="106"/>
      <c r="AO42" s="106"/>
      <c r="AP42" s="106"/>
    </row>
    <row r="43" spans="11:42" ht="15">
      <c r="K43" s="106"/>
      <c r="L43" s="106"/>
      <c r="M43" s="106"/>
      <c r="N43" s="106"/>
      <c r="O43" s="106"/>
      <c r="P43" s="115"/>
      <c r="Q43" s="118"/>
      <c r="R43" s="110"/>
      <c r="S43" s="110"/>
      <c r="T43" s="110"/>
      <c r="U43" s="109"/>
      <c r="V43" s="109"/>
      <c r="W43" s="109"/>
      <c r="X43" s="109"/>
      <c r="Y43" s="109"/>
      <c r="Z43" s="106"/>
      <c r="AA43" s="106">
        <f>SQRT(POWER(V45,2)+POWER(V45,2)-(2*V45*V45*COS(AB31*(PI()/180))))</f>
        <v>2.788913516129512</v>
      </c>
      <c r="AB43" s="106">
        <f>SQRT(POWER(V45,2)+POWER(V45,2)-(2*V45*V45*COS((90-((Z19/6.75)*90))*(PI()/180))))</f>
        <v>2.192333142381426</v>
      </c>
      <c r="AC43" s="106"/>
      <c r="AD43" s="106"/>
      <c r="AE43" s="106">
        <f>VLOOKUP(VLS™!$C$4,Y3:Z14,2,FALSE)/17</f>
        <v>1</v>
      </c>
      <c r="AF43" s="106"/>
      <c r="AG43" s="106"/>
      <c r="AH43" s="106"/>
      <c r="AI43" s="106"/>
      <c r="AJ43" s="106"/>
      <c r="AK43" s="106"/>
      <c r="AL43" s="106"/>
      <c r="AM43" s="106"/>
      <c r="AN43" s="106"/>
      <c r="AO43" s="106"/>
      <c r="AP43" s="106"/>
    </row>
    <row r="44" spans="11:42" ht="15">
      <c r="K44" s="106"/>
      <c r="L44" s="106"/>
      <c r="M44" s="106"/>
      <c r="N44" s="106"/>
      <c r="O44" s="106"/>
      <c r="P44" s="115"/>
      <c r="Q44" s="110"/>
      <c r="R44" s="110"/>
      <c r="S44" s="110"/>
      <c r="T44" s="110"/>
      <c r="U44" s="109"/>
      <c r="V44" s="109"/>
      <c r="W44" s="109"/>
      <c r="X44" s="109"/>
      <c r="Y44" s="109"/>
      <c r="Z44" s="106"/>
      <c r="AA44" s="106">
        <f>POWER(AA43,2)</f>
        <v>7.778038600449878</v>
      </c>
      <c r="AB44" s="106">
        <f>POWER(AB43,2)</f>
        <v>4.806324607184017</v>
      </c>
      <c r="AC44" s="106"/>
      <c r="AD44" s="106"/>
      <c r="AE44" s="106">
        <f>AF42*AE41*AE40</f>
        <v>5.76481399465877</v>
      </c>
      <c r="AF44" s="106"/>
      <c r="AG44" s="106"/>
      <c r="AH44" s="106"/>
      <c r="AI44" s="106"/>
      <c r="AJ44" s="106"/>
      <c r="AK44" s="106"/>
      <c r="AL44" s="106"/>
      <c r="AM44" s="106"/>
      <c r="AN44" s="106"/>
      <c r="AO44" s="106"/>
      <c r="AP44" s="106"/>
    </row>
    <row r="45" spans="11:42" ht="15">
      <c r="K45" s="106"/>
      <c r="L45" s="106"/>
      <c r="M45" s="106"/>
      <c r="N45" s="106"/>
      <c r="O45" s="106"/>
      <c r="P45" s="106"/>
      <c r="Q45" s="109"/>
      <c r="R45" s="109">
        <v>8.595</v>
      </c>
      <c r="S45" s="119"/>
      <c r="T45" s="109"/>
      <c r="U45" s="119"/>
      <c r="V45" s="109">
        <f>R45/2</f>
        <v>4.2975</v>
      </c>
      <c r="W45" s="109"/>
      <c r="X45" s="109"/>
      <c r="Y45" s="109"/>
      <c r="Z45" s="106"/>
      <c r="AA45" s="106">
        <f>SQRT(AA44+AB44)+0.5</f>
        <v>4.0474446024756885</v>
      </c>
      <c r="AB45" s="106"/>
      <c r="AC45" s="106"/>
      <c r="AD45" s="106"/>
      <c r="AE45" s="106" t="s">
        <v>63</v>
      </c>
      <c r="AF45" s="106"/>
      <c r="AG45" s="106"/>
      <c r="AH45" s="106"/>
      <c r="AI45" s="106"/>
      <c r="AJ45" s="106"/>
      <c r="AK45" s="106"/>
      <c r="AL45" s="106"/>
      <c r="AM45" s="106"/>
      <c r="AN45" s="106"/>
      <c r="AO45" s="106"/>
      <c r="AP45" s="106"/>
    </row>
    <row r="46" spans="11:42" ht="15">
      <c r="K46" s="106"/>
      <c r="L46" s="106"/>
      <c r="M46" s="106"/>
      <c r="N46" s="106"/>
      <c r="O46" s="106"/>
      <c r="P46" s="106"/>
      <c r="Q46" s="109"/>
      <c r="R46" s="109"/>
      <c r="S46" s="109"/>
      <c r="T46" s="109"/>
      <c r="U46" s="109"/>
      <c r="V46" s="109"/>
      <c r="W46" s="109"/>
      <c r="X46" s="109"/>
      <c r="Y46" s="109"/>
      <c r="Z46" s="106"/>
      <c r="AA46" s="106"/>
      <c r="AB46" s="106"/>
      <c r="AC46" s="106"/>
      <c r="AD46" s="106"/>
      <c r="AE46" s="106">
        <f>VLOOKUP(VLS™!$E$6,AF3:AG14,2,FALSE)</f>
        <v>0.7</v>
      </c>
      <c r="AF46" s="106"/>
      <c r="AG46" s="106"/>
      <c r="AH46" s="106"/>
      <c r="AI46" s="106"/>
      <c r="AJ46" s="106"/>
      <c r="AK46" s="106"/>
      <c r="AL46" s="106"/>
      <c r="AM46" s="106"/>
      <c r="AN46" s="106"/>
      <c r="AO46" s="106"/>
      <c r="AP46" s="106"/>
    </row>
    <row r="47" spans="11:42" ht="15">
      <c r="K47" s="106"/>
      <c r="L47" s="106"/>
      <c r="M47" s="106"/>
      <c r="N47" s="106"/>
      <c r="O47" s="106"/>
      <c r="P47" s="106"/>
      <c r="Q47" s="109"/>
      <c r="R47" s="109"/>
      <c r="S47" s="109"/>
      <c r="T47" s="109"/>
      <c r="U47" s="109"/>
      <c r="V47" s="109"/>
      <c r="W47" s="109"/>
      <c r="X47" s="109"/>
      <c r="Y47" s="109"/>
      <c r="Z47" s="106"/>
      <c r="AA47" s="106"/>
      <c r="AB47" s="106"/>
      <c r="AC47" s="106"/>
      <c r="AD47" s="106"/>
      <c r="AE47" s="106">
        <f>(VLOOKUP(VLS™!$C$10,M3:N14,2,FALSE)-X25)/45</f>
        <v>0.8444444444444444</v>
      </c>
      <c r="AF47" s="106"/>
      <c r="AG47" s="106"/>
      <c r="AH47" s="106"/>
      <c r="AI47" s="106"/>
      <c r="AJ47" s="106"/>
      <c r="AK47" s="106"/>
      <c r="AL47" s="106"/>
      <c r="AM47" s="106"/>
      <c r="AN47" s="106"/>
      <c r="AO47" s="106"/>
      <c r="AP47" s="106"/>
    </row>
    <row r="48" spans="11:42" ht="15">
      <c r="K48" s="106"/>
      <c r="L48" s="106"/>
      <c r="M48" s="106"/>
      <c r="N48" s="106"/>
      <c r="O48" s="106"/>
      <c r="P48" s="113"/>
      <c r="Q48" s="116"/>
      <c r="R48" s="110"/>
      <c r="S48" s="116"/>
      <c r="T48" s="116"/>
      <c r="U48" s="109"/>
      <c r="V48" s="109"/>
      <c r="W48" s="109">
        <f>(X48/X49)*Y48</f>
        <v>60.44444444444444</v>
      </c>
      <c r="X48" s="109">
        <f>Z19</f>
        <v>4.533333333333333</v>
      </c>
      <c r="Y48" s="109">
        <v>90</v>
      </c>
      <c r="Z48" s="106"/>
      <c r="AA48" s="106"/>
      <c r="AB48" s="106"/>
      <c r="AC48" s="106"/>
      <c r="AD48" s="106"/>
      <c r="AE48" s="106">
        <f>AE47*AE46</f>
        <v>0.591111111111111</v>
      </c>
      <c r="AF48" s="106">
        <f>AE48*AE44</f>
        <v>3.407645605731628</v>
      </c>
      <c r="AG48" s="106"/>
      <c r="AH48" s="106"/>
      <c r="AI48" s="106"/>
      <c r="AJ48" s="106"/>
      <c r="AK48" s="106"/>
      <c r="AL48" s="106"/>
      <c r="AM48" s="106"/>
      <c r="AN48" s="106"/>
      <c r="AO48" s="106"/>
      <c r="AP48" s="106"/>
    </row>
    <row r="49" spans="11:42" ht="15">
      <c r="K49" s="106"/>
      <c r="L49" s="106"/>
      <c r="M49" s="106"/>
      <c r="N49" s="106"/>
      <c r="O49" s="106"/>
      <c r="P49" s="113"/>
      <c r="Q49" s="116"/>
      <c r="R49" s="110"/>
      <c r="S49" s="116"/>
      <c r="T49" s="116"/>
      <c r="U49" s="109"/>
      <c r="V49" s="109"/>
      <c r="W49" s="109"/>
      <c r="X49" s="109">
        <v>6.75</v>
      </c>
      <c r="Y49" s="109"/>
      <c r="Z49" s="106"/>
      <c r="AA49" s="106"/>
      <c r="AB49" s="106"/>
      <c r="AC49" s="106"/>
      <c r="AD49" s="106"/>
      <c r="AE49" s="106" t="b">
        <f>VLOOKUP(VLS™!$E$7,AH3:AI4,2,FALSE)</f>
        <v>1</v>
      </c>
      <c r="AF49" s="106"/>
      <c r="AG49" s="106"/>
      <c r="AH49" s="106"/>
      <c r="AI49" s="106"/>
      <c r="AJ49" s="106"/>
      <c r="AK49" s="106"/>
      <c r="AL49" s="106"/>
      <c r="AM49" s="106"/>
      <c r="AN49" s="106"/>
      <c r="AO49" s="106"/>
      <c r="AP49" s="106"/>
    </row>
    <row r="50" spans="11:42" ht="15">
      <c r="K50" s="106"/>
      <c r="L50" s="106"/>
      <c r="M50" s="106"/>
      <c r="N50" s="106"/>
      <c r="O50" s="106"/>
      <c r="P50" s="106"/>
      <c r="Q50" s="106"/>
      <c r="R50" s="106"/>
      <c r="S50" s="106"/>
      <c r="T50" s="106"/>
      <c r="U50" s="106"/>
      <c r="V50" s="106"/>
      <c r="W50" s="106"/>
      <c r="X50" s="106"/>
      <c r="Y50" s="106"/>
      <c r="Z50" s="106"/>
      <c r="AA50" s="106"/>
      <c r="AB50" s="106"/>
      <c r="AC50" s="106"/>
      <c r="AD50" s="106"/>
      <c r="AE50" s="106">
        <f>IF(AE49,6.75-(AE48*3.75),AE48*3.75)</f>
        <v>4.533333333333333</v>
      </c>
      <c r="AF50" s="106"/>
      <c r="AG50" s="106"/>
      <c r="AH50" s="106"/>
      <c r="AI50" s="106"/>
      <c r="AJ50" s="106"/>
      <c r="AK50" s="106"/>
      <c r="AL50" s="106"/>
      <c r="AM50" s="106"/>
      <c r="AN50" s="106"/>
      <c r="AO50" s="106"/>
      <c r="AP50" s="106"/>
    </row>
    <row r="51" spans="11:42" ht="1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row>
    <row r="52" spans="11:42" ht="15">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row>
    <row r="53" spans="11:42" ht="15">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row>
    <row r="54" spans="11:42" ht="15">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row>
    <row r="55" spans="11:42" ht="15">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row>
  </sheetData>
  <sheetProtection password="CDBB" sheet="1" objects="1" scenarios="1"/>
  <mergeCells count="29">
    <mergeCell ref="U41:U42"/>
    <mergeCell ref="P48:P49"/>
    <mergeCell ref="Q48:Q49"/>
    <mergeCell ref="S48:S49"/>
    <mergeCell ref="T48:T49"/>
    <mergeCell ref="Q30:Q31"/>
    <mergeCell ref="P35:P36"/>
    <mergeCell ref="Q35:Q36"/>
    <mergeCell ref="P41:P42"/>
    <mergeCell ref="Q41:Q42"/>
    <mergeCell ref="S41:S42"/>
    <mergeCell ref="P30:P31"/>
    <mergeCell ref="AE18:AG18"/>
    <mergeCell ref="Q20:Q21"/>
    <mergeCell ref="S20:S21"/>
    <mergeCell ref="T20:T21"/>
    <mergeCell ref="P25:P26"/>
    <mergeCell ref="Q25:Q26"/>
    <mergeCell ref="C29:E31"/>
    <mergeCell ref="B1:E1"/>
    <mergeCell ref="B2:E2"/>
    <mergeCell ref="C26:D26"/>
    <mergeCell ref="B3:C3"/>
    <mergeCell ref="B9:C9"/>
    <mergeCell ref="B13:C13"/>
    <mergeCell ref="D3:E3"/>
    <mergeCell ref="D9:E9"/>
    <mergeCell ref="D13:E13"/>
    <mergeCell ref="D10:E10"/>
  </mergeCells>
  <dataValidations count="15">
    <dataValidation type="decimal" allowBlank="1" showInputMessage="1" showErrorMessage="1" promptTitle="Low RG" prompt="Please Input the Low RG as advertised by the manufacturer. USBC regulation requires this number to be between 2.460 and 2.800" errorTitle="RG # Exceeds Regulation" error="The number you have exceeds USBC Regulation and will not be calculated." sqref="C14">
      <formula1>2.46</formula1>
      <formula2>2.8</formula2>
    </dataValidation>
    <dataValidation type="decimal" allowBlank="1" showInputMessage="1" showErrorMessage="1" promptTitle="Ball Differential" prompt="USBC regulation dictates the Differential must not exceed 0.060" sqref="C15">
      <formula1>0</formula1>
      <formula2>0.06</formula2>
    </dataValidation>
    <dataValidation type="decimal" allowBlank="1" showInputMessage="1" showErrorMessage="1" promptTitle="PSA, MB, or Split Differential" prompt="For drilling purposes, this number should not exceed 1/2 of the Differential therefore the number should be between 0.000 and 0.030. " errorTitle="PSA Exceeded Differential" error="To correctly calculate the location of the Low RG axis, after drilling, this number should not exceed 1/2 of the maximum differential as listed in C14" sqref="C16">
      <formula1>0</formula1>
      <formula2>C15/2</formula2>
    </dataValidation>
    <dataValidation type="decimal" allowBlank="1" showInputMessage="1" showErrorMessage="1" promptTitle="PAP Measurement (Over)" prompt="This number is between 1 and 6 3/4. Enter a positive number in this range regardless of Right-Hand or Left-Hand release." sqref="E4">
      <formula1>1</formula1>
      <formula2>6.75</formula2>
    </dataValidation>
    <dataValidation type="decimal" allowBlank="1" showInputMessage="1" showErrorMessage="1" promptTitle="PAP Direction Up or Down" prompt="For PAP coordinates that are &quot;down&quot; enter a negative (-). For calculation, this must be between -3 to +3." sqref="E5">
      <formula1>-3</formula1>
      <formula2>3</formula2>
    </dataValidation>
    <dataValidation type="list" allowBlank="1" showInputMessage="1" showErrorMessage="1" promptTitle="Pattern Length" prompt="Very Short = 31'&#10;Short = 34'&#10;Medium-Short = 36'&#10;Medium = 38'&#10;Medium-Long = 40'&#10;Long = 42'&#10;Very Long = 45'" sqref="C10">
      <formula1>$M$3:$M$9</formula1>
    </dataValidation>
    <dataValidation type="list" allowBlank="1" showInputMessage="1" showErrorMessage="1" promptTitle="Pattern Length" prompt="This is used to adjust the projected midlane transition. For example, when the volume is &quot;Light,&quot; more length is usually desired." sqref="C11">
      <formula1>$O$3:$O$5</formula1>
    </dataValidation>
    <dataValidation type="list" allowBlank="1" showInputMessage="1" showErrorMessage="1" promptTitle="Ball Speed" prompt="Very Slow = 13 MPH&#10;Slow = 15 MPH&#10;Medium = 17 MPH&#10;Fast = 19 MPH&#10;Very Fast = 21 MPH" sqref="C4">
      <formula1>$Y$3:$Y$7</formula1>
    </dataValidation>
    <dataValidation type="list" allowBlank="1" showInputMessage="1" showErrorMessage="1" promptTitle="Rev Rate" prompt="Very Low = 150 RPM&#10;Low = 225 RPM&#10;Medium = 300 RPM&#10;High = 375 RPM&#10;Very High = 450 RPM" sqref="C5">
      <formula1>$AA$3:$AA$7</formula1>
    </dataValidation>
    <dataValidation type="list" allowBlank="1" showInputMessage="1" showErrorMessage="1" promptTitle="Axis Tilt" prompt="This is how the ball &quot;spins&quot; as it goes down the lane. Low Tilt has a very large track area and is usually close to the fingers. High Tilt has a very small track size and &quot;spins like a top&quot; as it goes down the lane." sqref="C6">
      <formula1>$W$3:$W$5</formula1>
    </dataValidation>
    <dataValidation type="list" allowBlank="1" showInputMessage="1" showErrorMessage="1" promptTitle="Axis Rotation" prompt="This is the &quot;direction&quot; the ball is rotating at the point of release. Bowlers who have low Axis Rotation are said to be &quot;Up the Back&quot; and the ball is rolling end or end towards the pins. Likewise, bowlers that are &quot;Off the Side&quot; have high Axis Rotation." sqref="C7">
      <formula1>$U$3:$U$5</formula1>
    </dataValidation>
    <dataValidation type="list" allowBlank="1" showInputMessage="1" showErrorMessage="1" promptTitle="Desired Reaction" prompt="This helps to determine how strong of a layout to use. Very Weak = 35% of maximum Flare Potential  whereas Very Strong = 100% Flare Potential." sqref="E6">
      <formula1>$AF$3:$AF$7</formula1>
    </dataValidation>
    <dataValidation type="list" allowBlank="1" showInputMessage="1" showErrorMessage="1" promptTitle="RG Variable" prompt="Since Flare Potential can be limited by both Low RG layouts and High RG layouts we need to decide which is preferred. Low RG tend to rev fast and arc; High RG tend to be more &quot;Skid/Snap.&quot;" sqref="E7">
      <formula1>$AH$3:$AH$4</formula1>
    </dataValidation>
    <dataValidation type="list" allowBlank="1" showInputMessage="1" showErrorMessage="1" promptTitle="Transition Length" prompt="Use this to dictate how rapidly you want the ball to read the lane. Very Short = ball will attempt to change direction immediately. Very Long means the ball will take the longest amount of time to change direction." sqref="E8">
      <formula1>$S$3:$S$9</formula1>
    </dataValidation>
    <dataValidation type="list" allowBlank="1" showInputMessage="1" showErrorMessage="1" promptTitle="Reaction Length" prompt="This helps determine where you want to play the midlane; Early means midlane read before the end of the pattern, Middle means at the end of the pattern, and Late means after the pattern ends." sqref="E11">
      <formula1>$Q$3:$Q$5</formula1>
    </dataValidation>
  </dataValidations>
  <printOptions/>
  <pageMargins left="0.7" right="0.7" top="0.75" bottom="0.75" header="0.3" footer="0.3"/>
  <pageSetup horizontalDpi="600" verticalDpi="600" orientation="portrait" scale="77" r:id="rId2"/>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S50"/>
  <sheetViews>
    <sheetView zoomScalePageLayoutView="0" workbookViewId="0" topLeftCell="A3">
      <selection activeCell="E26" sqref="E26"/>
    </sheetView>
  </sheetViews>
  <sheetFormatPr defaultColWidth="9.140625" defaultRowHeight="15"/>
  <cols>
    <col min="2" max="2" width="10.00390625" style="0" customWidth="1"/>
    <col min="3" max="3" width="3.57421875" style="0" customWidth="1"/>
    <col min="4" max="4" width="19.57421875" style="0" customWidth="1"/>
    <col min="5" max="5" width="4.57421875" style="0" customWidth="1"/>
    <col min="6" max="6" width="7.7109375" style="0" customWidth="1"/>
    <col min="7" max="7" width="5.00390625" style="0" customWidth="1"/>
    <col min="8" max="8" width="11.8515625" style="0" customWidth="1"/>
    <col min="9" max="9" width="5.8515625" style="0" customWidth="1"/>
    <col min="10" max="10" width="7.57421875" style="0" customWidth="1"/>
    <col min="11" max="11" width="6.8515625" style="0" customWidth="1"/>
  </cols>
  <sheetData>
    <row r="1" spans="1:11" ht="15">
      <c r="A1" s="1"/>
      <c r="B1" s="1"/>
      <c r="C1" s="1"/>
      <c r="D1" s="1"/>
      <c r="E1" s="1"/>
      <c r="F1" s="1"/>
      <c r="G1" s="1"/>
      <c r="H1" s="1"/>
      <c r="I1" s="1"/>
      <c r="J1" s="1"/>
      <c r="K1" s="1"/>
    </row>
    <row r="2" spans="1:19" ht="15">
      <c r="A2" s="1"/>
      <c r="B2" s="67" t="s">
        <v>67</v>
      </c>
      <c r="C2" s="67"/>
      <c r="D2" s="67"/>
      <c r="E2" s="67"/>
      <c r="F2" s="67"/>
      <c r="G2" s="67"/>
      <c r="H2" s="67"/>
      <c r="I2" s="6"/>
      <c r="J2" s="6"/>
      <c r="K2" s="6"/>
      <c r="L2" s="7"/>
      <c r="M2" s="7"/>
      <c r="N2" s="7"/>
      <c r="O2" s="7"/>
      <c r="P2" s="7"/>
      <c r="Q2" s="7"/>
      <c r="R2" s="7"/>
      <c r="S2" s="7"/>
    </row>
    <row r="3" spans="1:19" ht="15">
      <c r="A3" s="1"/>
      <c r="B3" s="18"/>
      <c r="C3" s="18"/>
      <c r="D3" s="18"/>
      <c r="E3" s="18"/>
      <c r="F3" s="18"/>
      <c r="G3" s="18"/>
      <c r="H3" s="18"/>
      <c r="I3" s="6"/>
      <c r="J3" s="6"/>
      <c r="K3" s="6"/>
      <c r="L3" s="7"/>
      <c r="M3" s="7"/>
      <c r="N3" s="7"/>
      <c r="O3" s="7"/>
      <c r="P3" s="7"/>
      <c r="Q3" s="7"/>
      <c r="R3" s="7"/>
      <c r="S3" s="7"/>
    </row>
    <row r="4" spans="1:19" ht="15">
      <c r="A4" s="1"/>
      <c r="B4" s="19" t="s">
        <v>68</v>
      </c>
      <c r="C4" s="19" t="s">
        <v>17</v>
      </c>
      <c r="D4" s="19" t="s">
        <v>69</v>
      </c>
      <c r="E4" s="20" t="s">
        <v>16</v>
      </c>
      <c r="F4" s="19" t="s">
        <v>70</v>
      </c>
      <c r="G4" s="21"/>
      <c r="H4" s="22"/>
      <c r="I4" s="6"/>
      <c r="J4" s="6"/>
      <c r="K4" s="6"/>
      <c r="L4" s="7"/>
      <c r="M4" s="7"/>
      <c r="N4" s="7"/>
      <c r="O4" s="7"/>
      <c r="P4" s="7"/>
      <c r="Q4" s="7"/>
      <c r="R4" s="7"/>
      <c r="S4" s="7"/>
    </row>
    <row r="5" spans="1:19" ht="15">
      <c r="A5" s="1"/>
      <c r="B5" s="19"/>
      <c r="C5" s="19"/>
      <c r="D5" s="19"/>
      <c r="E5" s="20"/>
      <c r="F5" s="19"/>
      <c r="G5" s="21"/>
      <c r="H5" s="22"/>
      <c r="I5" s="6"/>
      <c r="J5" s="6"/>
      <c r="K5" s="6"/>
      <c r="L5" s="7"/>
      <c r="M5" s="7"/>
      <c r="N5" s="7"/>
      <c r="O5" s="7"/>
      <c r="P5" s="7"/>
      <c r="Q5" s="7"/>
      <c r="R5" s="7"/>
      <c r="S5" s="7"/>
    </row>
    <row r="6" spans="1:19" ht="15">
      <c r="A6" s="1"/>
      <c r="B6" s="82" t="s">
        <v>68</v>
      </c>
      <c r="C6" s="103" t="s">
        <v>16</v>
      </c>
      <c r="D6" s="23" t="s">
        <v>70</v>
      </c>
      <c r="E6" s="24"/>
      <c r="F6" s="25"/>
      <c r="G6" s="22"/>
      <c r="H6" s="22"/>
      <c r="I6" s="6"/>
      <c r="J6" s="6"/>
      <c r="K6" s="6"/>
      <c r="L6" s="7"/>
      <c r="M6" s="7"/>
      <c r="N6" s="7"/>
      <c r="O6" s="7"/>
      <c r="P6" s="7"/>
      <c r="Q6" s="7"/>
      <c r="R6" s="7"/>
      <c r="S6" s="7"/>
    </row>
    <row r="7" spans="1:19" ht="15">
      <c r="A7" s="1"/>
      <c r="B7" s="93"/>
      <c r="C7" s="97"/>
      <c r="D7" s="19" t="s">
        <v>69</v>
      </c>
      <c r="E7" s="26"/>
      <c r="F7" s="25"/>
      <c r="G7" s="22"/>
      <c r="H7" s="22"/>
      <c r="I7" s="6"/>
      <c r="J7" s="6"/>
      <c r="K7" s="6"/>
      <c r="L7" s="7"/>
      <c r="M7" s="7"/>
      <c r="N7" s="7"/>
      <c r="O7" s="7"/>
      <c r="P7" s="7"/>
      <c r="Q7" s="7"/>
      <c r="R7" s="7"/>
      <c r="S7" s="7"/>
    </row>
    <row r="8" spans="1:19" ht="15">
      <c r="A8" s="1"/>
      <c r="B8" s="19"/>
      <c r="C8" s="27"/>
      <c r="D8" s="19"/>
      <c r="E8" s="26"/>
      <c r="F8" s="25"/>
      <c r="G8" s="22"/>
      <c r="H8" s="22"/>
      <c r="I8" s="6"/>
      <c r="J8" s="6"/>
      <c r="K8" s="6"/>
      <c r="L8" s="7"/>
      <c r="M8" s="7"/>
      <c r="N8" s="7"/>
      <c r="O8" s="7"/>
      <c r="P8" s="7"/>
      <c r="Q8" s="7"/>
      <c r="R8" s="7"/>
      <c r="S8" s="7"/>
    </row>
    <row r="9" spans="1:19" ht="15">
      <c r="A9" s="1"/>
      <c r="B9" s="67" t="s">
        <v>71</v>
      </c>
      <c r="C9" s="67"/>
      <c r="D9" s="67"/>
      <c r="E9" s="67"/>
      <c r="F9" s="67"/>
      <c r="G9" s="67"/>
      <c r="H9" s="67"/>
      <c r="I9" s="6"/>
      <c r="J9" s="6"/>
      <c r="K9" s="6"/>
      <c r="L9" s="7"/>
      <c r="M9" s="7"/>
      <c r="N9" s="7"/>
      <c r="O9" s="7"/>
      <c r="P9" s="7"/>
      <c r="Q9" s="7"/>
      <c r="R9" s="7"/>
      <c r="S9" s="7"/>
    </row>
    <row r="10" spans="1:19" ht="15">
      <c r="A10" s="1"/>
      <c r="B10" s="18"/>
      <c r="C10" s="18"/>
      <c r="D10" s="18"/>
      <c r="E10" s="18"/>
      <c r="F10" s="18"/>
      <c r="G10" s="18"/>
      <c r="H10" s="18"/>
      <c r="I10" s="6"/>
      <c r="J10" s="6"/>
      <c r="K10" s="6"/>
      <c r="L10" s="7"/>
      <c r="M10" s="7"/>
      <c r="N10" s="7"/>
      <c r="O10" s="7"/>
      <c r="P10" s="7"/>
      <c r="Q10" s="7"/>
      <c r="R10" s="7"/>
      <c r="S10" s="7"/>
    </row>
    <row r="11" spans="1:19" ht="15">
      <c r="A11" s="1"/>
      <c r="B11" s="97" t="s">
        <v>69</v>
      </c>
      <c r="C11" s="103" t="s">
        <v>16</v>
      </c>
      <c r="D11" s="104" t="s">
        <v>72</v>
      </c>
      <c r="E11" s="104" t="s">
        <v>17</v>
      </c>
      <c r="F11" s="23" t="s">
        <v>73</v>
      </c>
      <c r="G11" s="93" t="s">
        <v>17</v>
      </c>
      <c r="H11" s="23" t="s">
        <v>74</v>
      </c>
      <c r="I11" s="102" t="s">
        <v>75</v>
      </c>
      <c r="J11" s="23" t="s">
        <v>72</v>
      </c>
      <c r="K11" s="6"/>
      <c r="L11" s="7"/>
      <c r="M11" s="7"/>
      <c r="N11" s="7"/>
      <c r="O11" s="7"/>
      <c r="P11" s="7"/>
      <c r="Q11" s="7"/>
      <c r="R11" s="7"/>
      <c r="S11" s="7"/>
    </row>
    <row r="12" spans="1:19" ht="15">
      <c r="A12" s="1"/>
      <c r="B12" s="97"/>
      <c r="C12" s="97"/>
      <c r="D12" s="104"/>
      <c r="E12" s="104"/>
      <c r="F12" s="28" t="s">
        <v>76</v>
      </c>
      <c r="G12" s="93"/>
      <c r="H12" s="19" t="s">
        <v>77</v>
      </c>
      <c r="I12" s="93"/>
      <c r="J12" s="19" t="s">
        <v>78</v>
      </c>
      <c r="K12" s="6"/>
      <c r="L12" s="7"/>
      <c r="M12" s="7"/>
      <c r="N12" s="7"/>
      <c r="O12" s="7"/>
      <c r="P12" s="7"/>
      <c r="Q12" s="7"/>
      <c r="R12" s="7"/>
      <c r="S12" s="7"/>
    </row>
    <row r="13" spans="1:19" ht="15">
      <c r="A13" s="1"/>
      <c r="B13" s="27"/>
      <c r="C13" s="27"/>
      <c r="D13" s="28"/>
      <c r="E13" s="28"/>
      <c r="F13" s="28"/>
      <c r="G13" s="19"/>
      <c r="H13" s="19"/>
      <c r="I13" s="19"/>
      <c r="J13" s="19"/>
      <c r="K13" s="6"/>
      <c r="L13" s="7"/>
      <c r="M13" s="7"/>
      <c r="N13" s="7"/>
      <c r="O13" s="7"/>
      <c r="P13" s="7"/>
      <c r="Q13" s="7"/>
      <c r="R13" s="7"/>
      <c r="S13" s="7"/>
    </row>
    <row r="14" spans="1:19" ht="15">
      <c r="A14" s="1"/>
      <c r="B14" s="97" t="s">
        <v>70</v>
      </c>
      <c r="C14" s="103" t="s">
        <v>16</v>
      </c>
      <c r="D14" s="104" t="s">
        <v>79</v>
      </c>
      <c r="E14" s="104" t="s">
        <v>17</v>
      </c>
      <c r="F14" s="23" t="s">
        <v>80</v>
      </c>
      <c r="G14" s="102" t="s">
        <v>75</v>
      </c>
      <c r="H14" s="96" t="s">
        <v>81</v>
      </c>
      <c r="I14" s="100"/>
      <c r="J14" s="19"/>
      <c r="K14" s="6"/>
      <c r="L14" s="7"/>
      <c r="M14" s="7"/>
      <c r="N14" s="7"/>
      <c r="O14" s="7"/>
      <c r="P14" s="7"/>
      <c r="Q14" s="7"/>
      <c r="R14" s="7"/>
      <c r="S14" s="7"/>
    </row>
    <row r="15" spans="1:19" ht="15">
      <c r="A15" s="1"/>
      <c r="B15" s="97"/>
      <c r="C15" s="97"/>
      <c r="D15" s="104"/>
      <c r="E15" s="104"/>
      <c r="F15" s="28" t="s">
        <v>82</v>
      </c>
      <c r="G15" s="93"/>
      <c r="H15" s="93" t="s">
        <v>83</v>
      </c>
      <c r="I15" s="93"/>
      <c r="J15" s="19"/>
      <c r="K15" s="6"/>
      <c r="L15" s="7"/>
      <c r="M15" s="7"/>
      <c r="N15" s="7"/>
      <c r="O15" s="7"/>
      <c r="P15" s="7"/>
      <c r="Q15" s="7"/>
      <c r="R15" s="7"/>
      <c r="S15" s="7"/>
    </row>
    <row r="16" spans="1:19" ht="15">
      <c r="A16" s="1"/>
      <c r="B16" s="27"/>
      <c r="C16" s="27"/>
      <c r="D16" s="28"/>
      <c r="E16" s="28"/>
      <c r="F16" s="28"/>
      <c r="G16" s="19"/>
      <c r="H16" s="19"/>
      <c r="I16" s="19"/>
      <c r="J16" s="19"/>
      <c r="K16" s="6"/>
      <c r="L16" s="7"/>
      <c r="M16" s="7"/>
      <c r="N16" s="7"/>
      <c r="O16" s="7"/>
      <c r="P16" s="7"/>
      <c r="Q16" s="7"/>
      <c r="R16" s="7"/>
      <c r="S16" s="7"/>
    </row>
    <row r="17" spans="1:19" ht="15">
      <c r="A17" s="1"/>
      <c r="B17" s="67" t="s">
        <v>84</v>
      </c>
      <c r="C17" s="67"/>
      <c r="D17" s="67"/>
      <c r="E17" s="67"/>
      <c r="F17" s="67"/>
      <c r="G17" s="67"/>
      <c r="H17" s="67"/>
      <c r="I17" s="6"/>
      <c r="J17" s="6"/>
      <c r="K17" s="6"/>
      <c r="L17" s="7"/>
      <c r="M17" s="7"/>
      <c r="N17" s="7"/>
      <c r="O17" s="7"/>
      <c r="P17" s="7"/>
      <c r="Q17" s="7"/>
      <c r="R17" s="7"/>
      <c r="S17" s="7"/>
    </row>
    <row r="18" spans="1:19" ht="15">
      <c r="A18" s="1"/>
      <c r="B18" s="18"/>
      <c r="C18" s="18"/>
      <c r="D18" s="18"/>
      <c r="E18" s="18"/>
      <c r="F18" s="18"/>
      <c r="G18" s="18"/>
      <c r="H18" s="18"/>
      <c r="I18" s="6"/>
      <c r="J18" s="6"/>
      <c r="K18" s="6"/>
      <c r="L18" s="7"/>
      <c r="M18" s="7"/>
      <c r="N18" s="7"/>
      <c r="O18" s="7"/>
      <c r="P18" s="7"/>
      <c r="Q18" s="7"/>
      <c r="R18" s="7"/>
      <c r="S18" s="7"/>
    </row>
    <row r="19" spans="1:19" ht="15">
      <c r="A19" s="1"/>
      <c r="B19" s="93" t="s">
        <v>68</v>
      </c>
      <c r="C19" s="94" t="s">
        <v>16</v>
      </c>
      <c r="D19" s="96" t="s">
        <v>81</v>
      </c>
      <c r="E19" s="100"/>
      <c r="F19" s="22"/>
      <c r="G19" s="22"/>
      <c r="H19" s="22"/>
      <c r="I19" s="6"/>
      <c r="J19" s="6"/>
      <c r="K19" s="6"/>
      <c r="L19" s="7"/>
      <c r="M19" s="7"/>
      <c r="N19" s="7"/>
      <c r="O19" s="7"/>
      <c r="P19" s="7"/>
      <c r="Q19" s="7"/>
      <c r="R19" s="7"/>
      <c r="S19" s="7"/>
    </row>
    <row r="20" spans="1:19" ht="15.75" thickBot="1">
      <c r="A20" s="1"/>
      <c r="B20" s="93"/>
      <c r="C20" s="95"/>
      <c r="D20" s="93" t="s">
        <v>83</v>
      </c>
      <c r="E20" s="93"/>
      <c r="F20" s="22"/>
      <c r="G20" s="22"/>
      <c r="H20" s="22"/>
      <c r="I20" s="6"/>
      <c r="J20" s="6"/>
      <c r="K20" s="6"/>
      <c r="L20" s="7"/>
      <c r="M20" s="7"/>
      <c r="N20" s="7"/>
      <c r="O20" s="7"/>
      <c r="P20" s="7"/>
      <c r="Q20" s="7"/>
      <c r="R20" s="7"/>
      <c r="S20" s="7"/>
    </row>
    <row r="21" spans="1:19" ht="15">
      <c r="A21" s="1"/>
      <c r="B21" s="93"/>
      <c r="C21" s="95"/>
      <c r="D21" s="84" t="s">
        <v>72</v>
      </c>
      <c r="E21" s="84"/>
      <c r="F21" s="22"/>
      <c r="G21" s="22"/>
      <c r="H21" s="22"/>
      <c r="I21" s="6"/>
      <c r="J21" s="6"/>
      <c r="K21" s="6"/>
      <c r="L21" s="7"/>
      <c r="M21" s="7"/>
      <c r="N21" s="7"/>
      <c r="O21" s="7"/>
      <c r="P21" s="7"/>
      <c r="Q21" s="7"/>
      <c r="R21" s="7"/>
      <c r="S21" s="7"/>
    </row>
    <row r="22" spans="1:19" ht="15">
      <c r="A22" s="1"/>
      <c r="B22" s="93"/>
      <c r="C22" s="95"/>
      <c r="D22" s="101" t="s">
        <v>78</v>
      </c>
      <c r="E22" s="101"/>
      <c r="F22" s="22"/>
      <c r="G22" s="22"/>
      <c r="H22" s="22"/>
      <c r="I22" s="6"/>
      <c r="J22" s="6"/>
      <c r="K22" s="6"/>
      <c r="L22" s="7"/>
      <c r="M22" s="7"/>
      <c r="N22" s="7"/>
      <c r="O22" s="7"/>
      <c r="P22" s="7"/>
      <c r="Q22" s="7"/>
      <c r="R22" s="7"/>
      <c r="S22" s="7"/>
    </row>
    <row r="23" spans="1:19" ht="15">
      <c r="A23" s="1"/>
      <c r="B23" s="19"/>
      <c r="C23" s="22"/>
      <c r="D23" s="27"/>
      <c r="E23" s="27"/>
      <c r="F23" s="22"/>
      <c r="G23" s="22"/>
      <c r="H23" s="22"/>
      <c r="I23" s="6"/>
      <c r="J23" s="6"/>
      <c r="K23" s="6"/>
      <c r="L23" s="7"/>
      <c r="M23" s="7"/>
      <c r="N23" s="7"/>
      <c r="O23" s="7"/>
      <c r="P23" s="7"/>
      <c r="Q23" s="7"/>
      <c r="R23" s="7"/>
      <c r="S23" s="7"/>
    </row>
    <row r="24" spans="1:19" ht="15.75" thickBot="1">
      <c r="A24" s="1"/>
      <c r="B24" s="67" t="s">
        <v>85</v>
      </c>
      <c r="C24" s="67"/>
      <c r="D24" s="67"/>
      <c r="E24" s="67"/>
      <c r="F24" s="67"/>
      <c r="G24" s="67"/>
      <c r="H24" s="67"/>
      <c r="I24" s="6"/>
      <c r="J24" s="6"/>
      <c r="K24" s="6"/>
      <c r="L24" s="7"/>
      <c r="M24" s="7"/>
      <c r="N24" s="7"/>
      <c r="O24" s="7"/>
      <c r="P24" s="7"/>
      <c r="Q24" s="7"/>
      <c r="R24" s="7"/>
      <c r="S24" s="7"/>
    </row>
    <row r="25" spans="1:19" ht="15">
      <c r="A25" s="1"/>
      <c r="B25" s="29"/>
      <c r="C25" s="30"/>
      <c r="D25" s="30"/>
      <c r="E25" s="30"/>
      <c r="F25" s="30"/>
      <c r="G25" s="30"/>
      <c r="H25" s="30"/>
      <c r="I25" s="31"/>
      <c r="J25" s="31"/>
      <c r="K25" s="32"/>
      <c r="L25" s="7"/>
      <c r="M25" s="7"/>
      <c r="N25" s="7"/>
      <c r="O25" s="7"/>
      <c r="P25" s="7"/>
      <c r="Q25" s="7"/>
      <c r="R25" s="7"/>
      <c r="S25" s="7"/>
    </row>
    <row r="26" spans="1:19" ht="20.25" customHeight="1">
      <c r="A26" s="1"/>
      <c r="B26" s="33"/>
      <c r="C26" s="87" t="s">
        <v>86</v>
      </c>
      <c r="D26" s="88"/>
      <c r="E26" s="34">
        <v>0.85</v>
      </c>
      <c r="F26" s="35"/>
      <c r="G26" s="89" t="s">
        <v>87</v>
      </c>
      <c r="H26" s="89"/>
      <c r="I26" s="89"/>
      <c r="J26" s="89"/>
      <c r="K26" s="36"/>
      <c r="L26" s="7"/>
      <c r="M26" s="7"/>
      <c r="N26" s="7"/>
      <c r="O26" s="7"/>
      <c r="P26" s="7"/>
      <c r="Q26" s="7"/>
      <c r="R26" s="7"/>
      <c r="S26" s="7"/>
    </row>
    <row r="27" spans="1:19" ht="19.5" customHeight="1">
      <c r="A27" s="1"/>
      <c r="B27" s="33"/>
      <c r="C27" s="87" t="s">
        <v>88</v>
      </c>
      <c r="D27" s="88"/>
      <c r="E27" s="37">
        <v>15</v>
      </c>
      <c r="F27" s="35"/>
      <c r="G27" s="90" t="str">
        <f>IF(J30&lt;13,"Very Slow",IF(AND(J30&gt;13,J30&lt;15),"Slow",IF(AND(J30&gt;15,J30&lt;17),"Medium",IF(AND(J30&gt;17,J30&lt;19),"Fast","Very Fast"))))</f>
        <v>Very Slow</v>
      </c>
      <c r="H27" s="91"/>
      <c r="I27" s="91"/>
      <c r="J27" s="92"/>
      <c r="K27" s="36"/>
      <c r="L27" s="7"/>
      <c r="M27" s="7"/>
      <c r="N27" s="7"/>
      <c r="O27" s="7"/>
      <c r="P27" s="7"/>
      <c r="Q27" s="7"/>
      <c r="R27" s="7"/>
      <c r="S27" s="7"/>
    </row>
    <row r="28" spans="1:11" ht="15.75" thickBot="1">
      <c r="A28" s="1"/>
      <c r="B28" s="38"/>
      <c r="C28" s="39"/>
      <c r="D28" s="39"/>
      <c r="E28" s="39"/>
      <c r="F28" s="39"/>
      <c r="G28" s="39"/>
      <c r="H28" s="39"/>
      <c r="I28" s="39"/>
      <c r="J28" s="39"/>
      <c r="K28" s="40"/>
    </row>
    <row r="29" spans="1:11" ht="15">
      <c r="A29" s="1"/>
      <c r="B29" s="93" t="s">
        <v>68</v>
      </c>
      <c r="C29" s="94" t="s">
        <v>16</v>
      </c>
      <c r="D29" s="96" t="str">
        <f>E27&amp;" ft"</f>
        <v>15 ft</v>
      </c>
      <c r="E29" s="96"/>
      <c r="F29" s="1"/>
      <c r="G29" s="97" t="str">
        <f>ROUND(E27/5280,6)&amp;" mile"</f>
        <v>0.002841 mile</v>
      </c>
      <c r="H29" s="97"/>
      <c r="I29" s="1"/>
      <c r="J29" s="1"/>
      <c r="K29" s="1"/>
    </row>
    <row r="30" spans="1:11" ht="15.75" thickBot="1">
      <c r="A30" s="1"/>
      <c r="B30" s="93"/>
      <c r="C30" s="95"/>
      <c r="D30" s="99" t="s">
        <v>83</v>
      </c>
      <c r="E30" s="99"/>
      <c r="F30" s="81" t="s">
        <v>75</v>
      </c>
      <c r="G30" s="98"/>
      <c r="H30" s="98"/>
      <c r="I30" s="81" t="s">
        <v>75</v>
      </c>
      <c r="J30" s="83">
        <f>ROUND((E27/5280)/(E26/3600),2)</f>
        <v>12.03</v>
      </c>
      <c r="K30" s="67" t="s">
        <v>68</v>
      </c>
    </row>
    <row r="31" spans="1:11" ht="15">
      <c r="A31" s="1"/>
      <c r="B31" s="93"/>
      <c r="C31" s="95"/>
      <c r="D31" s="84" t="str">
        <f>E26&amp;" sec"</f>
        <v>0.85 sec</v>
      </c>
      <c r="E31" s="84"/>
      <c r="F31" s="82"/>
      <c r="G31" s="85" t="str">
        <f>ROUND(E26/3600,6)&amp;" hour"</f>
        <v>0.000236 hour</v>
      </c>
      <c r="H31" s="85"/>
      <c r="I31" s="82"/>
      <c r="J31" s="83"/>
      <c r="K31" s="67"/>
    </row>
    <row r="32" spans="1:11" ht="15">
      <c r="A32" s="1"/>
      <c r="B32" s="93"/>
      <c r="C32" s="95"/>
      <c r="D32" s="82" t="s">
        <v>78</v>
      </c>
      <c r="E32" s="82"/>
      <c r="F32" s="1"/>
      <c r="G32" s="82"/>
      <c r="H32" s="82"/>
      <c r="I32" s="1"/>
      <c r="J32" s="86"/>
      <c r="K32" s="86"/>
    </row>
    <row r="33" spans="1:11" ht="15">
      <c r="A33" s="1"/>
      <c r="B33" s="1"/>
      <c r="C33" s="1"/>
      <c r="D33" s="1"/>
      <c r="E33" s="1"/>
      <c r="F33" s="1"/>
      <c r="G33" s="1"/>
      <c r="H33" s="1"/>
      <c r="I33" s="1"/>
      <c r="J33" s="1"/>
      <c r="K33" s="1"/>
    </row>
    <row r="34" spans="1:11" ht="15">
      <c r="A34" s="1"/>
      <c r="B34" s="67" t="s">
        <v>89</v>
      </c>
      <c r="C34" s="67"/>
      <c r="D34" s="67"/>
      <c r="E34" s="67"/>
      <c r="F34" s="67"/>
      <c r="G34" s="67"/>
      <c r="H34" s="67"/>
      <c r="I34" s="1"/>
      <c r="J34" s="1"/>
      <c r="K34" s="1"/>
    </row>
    <row r="35" spans="1:11" ht="15">
      <c r="A35" s="1"/>
      <c r="B35" s="41" t="s">
        <v>90</v>
      </c>
      <c r="C35" s="42"/>
      <c r="D35" s="41" t="s">
        <v>68</v>
      </c>
      <c r="E35" s="68" t="s">
        <v>91</v>
      </c>
      <c r="F35" s="68"/>
      <c r="G35" s="1"/>
      <c r="H35" s="1"/>
      <c r="I35" s="1"/>
      <c r="J35" s="1"/>
      <c r="K35" s="1"/>
    </row>
    <row r="36" spans="1:11" ht="15" customHeight="1">
      <c r="A36" s="1"/>
      <c r="B36" s="43">
        <v>0.85</v>
      </c>
      <c r="C36" s="44" t="s">
        <v>16</v>
      </c>
      <c r="D36" s="45">
        <v>12.03</v>
      </c>
      <c r="E36" s="69" t="s">
        <v>47</v>
      </c>
      <c r="F36" s="70"/>
      <c r="G36" s="1"/>
      <c r="H36" s="1"/>
      <c r="I36" s="1"/>
      <c r="J36" s="1"/>
      <c r="K36" s="1"/>
    </row>
    <row r="37" spans="1:11" ht="15" customHeight="1">
      <c r="A37" s="1"/>
      <c r="B37" s="46">
        <v>0.8</v>
      </c>
      <c r="C37" s="42" t="s">
        <v>16</v>
      </c>
      <c r="D37" s="47">
        <v>12.78</v>
      </c>
      <c r="E37" s="71"/>
      <c r="F37" s="72"/>
      <c r="G37" s="1"/>
      <c r="H37" s="1"/>
      <c r="I37" s="1"/>
      <c r="J37" s="1"/>
      <c r="K37" s="1"/>
    </row>
    <row r="38" spans="1:11" ht="15" customHeight="1">
      <c r="A38" s="1"/>
      <c r="B38" s="43">
        <v>0.75</v>
      </c>
      <c r="C38" s="44" t="s">
        <v>16</v>
      </c>
      <c r="D38" s="45">
        <v>13.64</v>
      </c>
      <c r="E38" s="69" t="s">
        <v>48</v>
      </c>
      <c r="F38" s="70"/>
      <c r="G38" s="1"/>
      <c r="H38" s="1"/>
      <c r="I38" s="1"/>
      <c r="J38" s="1"/>
      <c r="K38" s="1"/>
    </row>
    <row r="39" spans="1:11" ht="15" customHeight="1">
      <c r="A39" s="1"/>
      <c r="B39" s="48">
        <v>0.7</v>
      </c>
      <c r="C39" s="49" t="s">
        <v>16</v>
      </c>
      <c r="D39" s="50">
        <v>14.61</v>
      </c>
      <c r="E39" s="73"/>
      <c r="F39" s="74"/>
      <c r="G39" s="1"/>
      <c r="H39" s="1"/>
      <c r="I39" s="1"/>
      <c r="J39" s="1"/>
      <c r="K39" s="1"/>
    </row>
    <row r="40" spans="1:11" ht="15" customHeight="1">
      <c r="A40" s="1"/>
      <c r="B40" s="43">
        <v>0.65</v>
      </c>
      <c r="C40" s="44" t="s">
        <v>16</v>
      </c>
      <c r="D40" s="45">
        <v>15.73</v>
      </c>
      <c r="E40" s="75" t="s">
        <v>8</v>
      </c>
      <c r="F40" s="76"/>
      <c r="G40" s="1"/>
      <c r="H40" s="1"/>
      <c r="I40" s="1"/>
      <c r="J40" s="1"/>
      <c r="K40" s="1"/>
    </row>
    <row r="41" spans="1:11" ht="15" customHeight="1">
      <c r="A41" s="1"/>
      <c r="B41" s="48">
        <v>0.6</v>
      </c>
      <c r="C41" s="49" t="s">
        <v>16</v>
      </c>
      <c r="D41" s="50">
        <v>17.05</v>
      </c>
      <c r="E41" s="77"/>
      <c r="F41" s="78"/>
      <c r="G41" s="1"/>
      <c r="H41" s="1"/>
      <c r="I41" s="1"/>
      <c r="J41" s="1"/>
      <c r="K41" s="1"/>
    </row>
    <row r="42" spans="1:11" ht="15" customHeight="1">
      <c r="A42" s="1"/>
      <c r="B42" s="43">
        <v>0.55</v>
      </c>
      <c r="C42" s="44" t="s">
        <v>16</v>
      </c>
      <c r="D42" s="45">
        <v>18.6</v>
      </c>
      <c r="E42" s="79" t="s">
        <v>49</v>
      </c>
      <c r="F42" s="80"/>
      <c r="G42" s="1"/>
      <c r="H42" s="1"/>
      <c r="I42" s="1"/>
      <c r="J42" s="1"/>
      <c r="K42" s="1"/>
    </row>
    <row r="43" spans="1:11" ht="15" customHeight="1">
      <c r="A43" s="1"/>
      <c r="B43" s="48">
        <v>0.5</v>
      </c>
      <c r="C43" s="49" t="s">
        <v>16</v>
      </c>
      <c r="D43" s="50">
        <v>20.45</v>
      </c>
      <c r="E43" s="65"/>
      <c r="F43" s="66"/>
      <c r="G43" s="1"/>
      <c r="H43" s="1"/>
      <c r="I43" s="1"/>
      <c r="J43" s="1"/>
      <c r="K43" s="1"/>
    </row>
    <row r="44" spans="1:11" ht="15" customHeight="1">
      <c r="A44" s="1"/>
      <c r="B44" s="46">
        <v>0.45</v>
      </c>
      <c r="C44" s="42" t="s">
        <v>16</v>
      </c>
      <c r="D44" s="47">
        <v>22.73</v>
      </c>
      <c r="E44" s="63" t="s">
        <v>50</v>
      </c>
      <c r="F44" s="64"/>
      <c r="G44" s="1"/>
      <c r="H44" s="1"/>
      <c r="I44" s="1"/>
      <c r="J44" s="1"/>
      <c r="K44" s="1"/>
    </row>
    <row r="45" spans="1:11" ht="15" customHeight="1">
      <c r="A45" s="1"/>
      <c r="B45" s="48">
        <v>0.4</v>
      </c>
      <c r="C45" s="49" t="s">
        <v>16</v>
      </c>
      <c r="D45" s="50">
        <v>25.57</v>
      </c>
      <c r="E45" s="65"/>
      <c r="F45" s="66"/>
      <c r="G45" s="1"/>
      <c r="H45" s="1"/>
      <c r="I45" s="1"/>
      <c r="J45" s="1"/>
      <c r="K45" s="1"/>
    </row>
    <row r="46" spans="2:4" ht="15">
      <c r="B46" s="51"/>
      <c r="D46" s="52"/>
    </row>
    <row r="47" ht="15">
      <c r="B47" s="51"/>
    </row>
    <row r="48" ht="15">
      <c r="B48" s="51"/>
    </row>
    <row r="49" ht="15">
      <c r="B49" s="51"/>
    </row>
    <row r="50" ht="15">
      <c r="B50" s="51"/>
    </row>
  </sheetData>
  <sheetProtection password="CDBB" sheet="1" objects="1" scenarios="1" selectLockedCells="1"/>
  <mergeCells count="49">
    <mergeCell ref="B2:H2"/>
    <mergeCell ref="B6:B7"/>
    <mergeCell ref="C6:C7"/>
    <mergeCell ref="B9:H9"/>
    <mergeCell ref="B11:B12"/>
    <mergeCell ref="C11:C12"/>
    <mergeCell ref="D11:D12"/>
    <mergeCell ref="E11:E12"/>
    <mergeCell ref="G11:G12"/>
    <mergeCell ref="I11:I12"/>
    <mergeCell ref="B14:B15"/>
    <mergeCell ref="C14:C15"/>
    <mergeCell ref="D14:D15"/>
    <mergeCell ref="E14:E15"/>
    <mergeCell ref="G14:G15"/>
    <mergeCell ref="H14:I14"/>
    <mergeCell ref="H15:I15"/>
    <mergeCell ref="B17:H17"/>
    <mergeCell ref="B19:B22"/>
    <mergeCell ref="C19:C22"/>
    <mergeCell ref="D19:E19"/>
    <mergeCell ref="D20:E20"/>
    <mergeCell ref="D21:E21"/>
    <mergeCell ref="D22:E22"/>
    <mergeCell ref="B29:B32"/>
    <mergeCell ref="C29:C32"/>
    <mergeCell ref="D29:E29"/>
    <mergeCell ref="G29:H30"/>
    <mergeCell ref="D30:E30"/>
    <mergeCell ref="F30:F31"/>
    <mergeCell ref="B24:H24"/>
    <mergeCell ref="C26:D26"/>
    <mergeCell ref="G26:J26"/>
    <mergeCell ref="C27:D27"/>
    <mergeCell ref="G27:J27"/>
    <mergeCell ref="I30:I31"/>
    <mergeCell ref="J30:J31"/>
    <mergeCell ref="K30:K31"/>
    <mergeCell ref="D31:E31"/>
    <mergeCell ref="G31:H32"/>
    <mergeCell ref="D32:E32"/>
    <mergeCell ref="J32:K32"/>
    <mergeCell ref="E44:F45"/>
    <mergeCell ref="B34:H34"/>
    <mergeCell ref="E35:F35"/>
    <mergeCell ref="E36:F37"/>
    <mergeCell ref="E38:F39"/>
    <mergeCell ref="E40:F41"/>
    <mergeCell ref="E42:F43"/>
  </mergeCells>
  <printOptions/>
  <pageMargins left="0.7" right="0.7" top="0.75" bottom="0.75" header="0.3" footer="0.3"/>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E35" sqref="E35"/>
    </sheetView>
  </sheetViews>
  <sheetFormatPr defaultColWidth="9.140625" defaultRowHeight="15"/>
  <sheetData>
    <row r="1" spans="1:10" ht="15" customHeight="1">
      <c r="A1" s="105" t="s">
        <v>94</v>
      </c>
      <c r="B1" s="105"/>
      <c r="C1" s="105"/>
      <c r="D1" s="105"/>
      <c r="E1" s="105"/>
      <c r="F1" s="105"/>
      <c r="G1" s="105"/>
      <c r="H1" s="105"/>
      <c r="I1" s="105"/>
      <c r="J1" s="105"/>
    </row>
    <row r="2" spans="1:10" ht="15">
      <c r="A2" s="105"/>
      <c r="B2" s="105"/>
      <c r="C2" s="105"/>
      <c r="D2" s="105"/>
      <c r="E2" s="105"/>
      <c r="F2" s="105"/>
      <c r="G2" s="105"/>
      <c r="H2" s="105"/>
      <c r="I2" s="105"/>
      <c r="J2" s="105"/>
    </row>
    <row r="3" spans="1:10" ht="15">
      <c r="A3" s="105"/>
      <c r="B3" s="105"/>
      <c r="C3" s="105"/>
      <c r="D3" s="105"/>
      <c r="E3" s="105"/>
      <c r="F3" s="105"/>
      <c r="G3" s="105"/>
      <c r="H3" s="105"/>
      <c r="I3" s="105"/>
      <c r="J3" s="105"/>
    </row>
    <row r="4" spans="1:10" ht="15">
      <c r="A4" s="105"/>
      <c r="B4" s="105"/>
      <c r="C4" s="105"/>
      <c r="D4" s="105"/>
      <c r="E4" s="105"/>
      <c r="F4" s="105"/>
      <c r="G4" s="105"/>
      <c r="H4" s="105"/>
      <c r="I4" s="105"/>
      <c r="J4" s="105"/>
    </row>
    <row r="5" spans="1:10" ht="15">
      <c r="A5" s="105"/>
      <c r="B5" s="105"/>
      <c r="C5" s="105"/>
      <c r="D5" s="105"/>
      <c r="E5" s="105"/>
      <c r="F5" s="105"/>
      <c r="G5" s="105"/>
      <c r="H5" s="105"/>
      <c r="I5" s="105"/>
      <c r="J5" s="105"/>
    </row>
    <row r="6" spans="1:10" ht="15">
      <c r="A6" s="105"/>
      <c r="B6" s="105"/>
      <c r="C6" s="105"/>
      <c r="D6" s="105"/>
      <c r="E6" s="105"/>
      <c r="F6" s="105"/>
      <c r="G6" s="105"/>
      <c r="H6" s="105"/>
      <c r="I6" s="105"/>
      <c r="J6" s="105"/>
    </row>
    <row r="7" spans="1:10" ht="15">
      <c r="A7" s="105"/>
      <c r="B7" s="105"/>
      <c r="C7" s="105"/>
      <c r="D7" s="105"/>
      <c r="E7" s="105"/>
      <c r="F7" s="105"/>
      <c r="G7" s="105"/>
      <c r="H7" s="105"/>
      <c r="I7" s="105"/>
      <c r="J7" s="105"/>
    </row>
    <row r="8" spans="1:10" ht="15">
      <c r="A8" s="105"/>
      <c r="B8" s="105"/>
      <c r="C8" s="105"/>
      <c r="D8" s="105"/>
      <c r="E8" s="105"/>
      <c r="F8" s="105"/>
      <c r="G8" s="105"/>
      <c r="H8" s="105"/>
      <c r="I8" s="105"/>
      <c r="J8" s="105"/>
    </row>
    <row r="9" spans="1:10" ht="15">
      <c r="A9" s="105"/>
      <c r="B9" s="105"/>
      <c r="C9" s="105"/>
      <c r="D9" s="105"/>
      <c r="E9" s="105"/>
      <c r="F9" s="105"/>
      <c r="G9" s="105"/>
      <c r="H9" s="105"/>
      <c r="I9" s="105"/>
      <c r="J9" s="105"/>
    </row>
    <row r="10" spans="1:10" ht="15">
      <c r="A10" s="105"/>
      <c r="B10" s="105"/>
      <c r="C10" s="105"/>
      <c r="D10" s="105"/>
      <c r="E10" s="105"/>
      <c r="F10" s="105"/>
      <c r="G10" s="105"/>
      <c r="H10" s="105"/>
      <c r="I10" s="105"/>
      <c r="J10" s="105"/>
    </row>
    <row r="11" spans="1:10" ht="15">
      <c r="A11" s="105"/>
      <c r="B11" s="105"/>
      <c r="C11" s="105"/>
      <c r="D11" s="105"/>
      <c r="E11" s="105"/>
      <c r="F11" s="105"/>
      <c r="G11" s="105"/>
      <c r="H11" s="105"/>
      <c r="I11" s="105"/>
      <c r="J11" s="105"/>
    </row>
    <row r="12" spans="1:10" ht="15">
      <c r="A12" s="105"/>
      <c r="B12" s="105"/>
      <c r="C12" s="105"/>
      <c r="D12" s="105"/>
      <c r="E12" s="105"/>
      <c r="F12" s="105"/>
      <c r="G12" s="105"/>
      <c r="H12" s="105"/>
      <c r="I12" s="105"/>
      <c r="J12" s="105"/>
    </row>
    <row r="13" spans="1:10" ht="15">
      <c r="A13" s="105"/>
      <c r="B13" s="105"/>
      <c r="C13" s="105"/>
      <c r="D13" s="105"/>
      <c r="E13" s="105"/>
      <c r="F13" s="105"/>
      <c r="G13" s="105"/>
      <c r="H13" s="105"/>
      <c r="I13" s="105"/>
      <c r="J13" s="105"/>
    </row>
    <row r="14" spans="1:10" ht="15">
      <c r="A14" s="105"/>
      <c r="B14" s="105"/>
      <c r="C14" s="105"/>
      <c r="D14" s="105"/>
      <c r="E14" s="105"/>
      <c r="F14" s="105"/>
      <c r="G14" s="105"/>
      <c r="H14" s="105"/>
      <c r="I14" s="105"/>
      <c r="J14" s="105"/>
    </row>
    <row r="15" spans="1:10" ht="15">
      <c r="A15" s="105"/>
      <c r="B15" s="105"/>
      <c r="C15" s="105"/>
      <c r="D15" s="105"/>
      <c r="E15" s="105"/>
      <c r="F15" s="105"/>
      <c r="G15" s="105"/>
      <c r="H15" s="105"/>
      <c r="I15" s="105"/>
      <c r="J15" s="105"/>
    </row>
    <row r="16" spans="1:10" ht="15">
      <c r="A16" s="105"/>
      <c r="B16" s="105"/>
      <c r="C16" s="105"/>
      <c r="D16" s="105"/>
      <c r="E16" s="105"/>
      <c r="F16" s="105"/>
      <c r="G16" s="105"/>
      <c r="H16" s="105"/>
      <c r="I16" s="105"/>
      <c r="J16" s="105"/>
    </row>
    <row r="17" spans="1:10" ht="15">
      <c r="A17" s="105"/>
      <c r="B17" s="105"/>
      <c r="C17" s="105"/>
      <c r="D17" s="105"/>
      <c r="E17" s="105"/>
      <c r="F17" s="105"/>
      <c r="G17" s="105"/>
      <c r="H17" s="105"/>
      <c r="I17" s="105"/>
      <c r="J17" s="105"/>
    </row>
    <row r="18" spans="1:10" ht="15">
      <c r="A18" s="105"/>
      <c r="B18" s="105"/>
      <c r="C18" s="105"/>
      <c r="D18" s="105"/>
      <c r="E18" s="105"/>
      <c r="F18" s="105"/>
      <c r="G18" s="105"/>
      <c r="H18" s="105"/>
      <c r="I18" s="105"/>
      <c r="J18" s="105"/>
    </row>
    <row r="19" spans="1:10" ht="15">
      <c r="A19" s="105"/>
      <c r="B19" s="105"/>
      <c r="C19" s="105"/>
      <c r="D19" s="105"/>
      <c r="E19" s="105"/>
      <c r="F19" s="105"/>
      <c r="G19" s="105"/>
      <c r="H19" s="105"/>
      <c r="I19" s="105"/>
      <c r="J19" s="105"/>
    </row>
    <row r="20" spans="1:10" ht="15">
      <c r="A20" s="105"/>
      <c r="B20" s="105"/>
      <c r="C20" s="105"/>
      <c r="D20" s="105"/>
      <c r="E20" s="105"/>
      <c r="F20" s="105"/>
      <c r="G20" s="105"/>
      <c r="H20" s="105"/>
      <c r="I20" s="105"/>
      <c r="J20" s="105"/>
    </row>
    <row r="21" spans="1:10" ht="15">
      <c r="A21" s="105"/>
      <c r="B21" s="105"/>
      <c r="C21" s="105"/>
      <c r="D21" s="105"/>
      <c r="E21" s="105"/>
      <c r="F21" s="105"/>
      <c r="G21" s="105"/>
      <c r="H21" s="105"/>
      <c r="I21" s="105"/>
      <c r="J21" s="105"/>
    </row>
    <row r="22" spans="1:10" ht="15">
      <c r="A22" s="105"/>
      <c r="B22" s="105"/>
      <c r="C22" s="105"/>
      <c r="D22" s="105"/>
      <c r="E22" s="105"/>
      <c r="F22" s="105"/>
      <c r="G22" s="105"/>
      <c r="H22" s="105"/>
      <c r="I22" s="105"/>
      <c r="J22" s="105"/>
    </row>
    <row r="23" spans="1:10" ht="15">
      <c r="A23" s="105"/>
      <c r="B23" s="105"/>
      <c r="C23" s="105"/>
      <c r="D23" s="105"/>
      <c r="E23" s="105"/>
      <c r="F23" s="105"/>
      <c r="G23" s="105"/>
      <c r="H23" s="105"/>
      <c r="I23" s="105"/>
      <c r="J23" s="105"/>
    </row>
    <row r="24" spans="1:10" ht="15">
      <c r="A24" s="105"/>
      <c r="B24" s="105"/>
      <c r="C24" s="105"/>
      <c r="D24" s="105"/>
      <c r="E24" s="105"/>
      <c r="F24" s="105"/>
      <c r="G24" s="105"/>
      <c r="H24" s="105"/>
      <c r="I24" s="105"/>
      <c r="J24" s="105"/>
    </row>
    <row r="25" spans="1:10" ht="15">
      <c r="A25" s="105"/>
      <c r="B25" s="105"/>
      <c r="C25" s="105"/>
      <c r="D25" s="105"/>
      <c r="E25" s="105"/>
      <c r="F25" s="105"/>
      <c r="G25" s="105"/>
      <c r="H25" s="105"/>
      <c r="I25" s="105"/>
      <c r="J25" s="105"/>
    </row>
    <row r="26" spans="1:10" ht="15">
      <c r="A26" s="105"/>
      <c r="B26" s="105"/>
      <c r="C26" s="105"/>
      <c r="D26" s="105"/>
      <c r="E26" s="105"/>
      <c r="F26" s="105"/>
      <c r="G26" s="105"/>
      <c r="H26" s="105"/>
      <c r="I26" s="105"/>
      <c r="J26" s="105"/>
    </row>
    <row r="27" spans="1:10" ht="15">
      <c r="A27" s="105"/>
      <c r="B27" s="105"/>
      <c r="C27" s="105"/>
      <c r="D27" s="105"/>
      <c r="E27" s="105"/>
      <c r="F27" s="105"/>
      <c r="G27" s="105"/>
      <c r="H27" s="105"/>
      <c r="I27" s="105"/>
      <c r="J27" s="105"/>
    </row>
    <row r="28" spans="1:10" ht="30">
      <c r="A28" s="54"/>
      <c r="B28" s="54" t="s">
        <v>93</v>
      </c>
      <c r="C28" s="54"/>
      <c r="D28" s="54"/>
      <c r="E28" s="54"/>
      <c r="F28" s="54"/>
      <c r="G28" s="54"/>
      <c r="H28" s="54"/>
      <c r="I28" s="54"/>
      <c r="J28" s="54"/>
    </row>
    <row r="29" spans="1:10" ht="15">
      <c r="A29" s="54"/>
      <c r="B29" s="54"/>
      <c r="C29" s="54"/>
      <c r="D29" s="54"/>
      <c r="E29" s="54"/>
      <c r="F29" s="54"/>
      <c r="G29" s="54"/>
      <c r="H29" s="54"/>
      <c r="I29" s="54"/>
      <c r="J29" s="54"/>
    </row>
    <row r="30" spans="1:10" ht="15">
      <c r="A30" s="54"/>
      <c r="B30" s="54"/>
      <c r="C30" s="54"/>
      <c r="D30" s="54"/>
      <c r="E30" s="54"/>
      <c r="F30" s="54"/>
      <c r="G30" s="54"/>
      <c r="H30" s="54"/>
      <c r="I30" s="54"/>
      <c r="J30" s="54"/>
    </row>
    <row r="31" spans="1:10" ht="15">
      <c r="A31" s="54"/>
      <c r="B31" s="54"/>
      <c r="C31" s="54"/>
      <c r="D31" s="54"/>
      <c r="E31" s="54"/>
      <c r="F31" s="54"/>
      <c r="G31" s="54"/>
      <c r="H31" s="54"/>
      <c r="I31" s="54"/>
      <c r="J31" s="54"/>
    </row>
    <row r="32" spans="1:10" ht="15">
      <c r="A32" s="54"/>
      <c r="B32" s="54"/>
      <c r="C32" s="54"/>
      <c r="D32" s="54"/>
      <c r="E32" s="54"/>
      <c r="F32" s="54"/>
      <c r="G32" s="54"/>
      <c r="H32" s="54"/>
      <c r="I32" s="54"/>
      <c r="J32" s="54"/>
    </row>
    <row r="33" spans="1:10" ht="15">
      <c r="A33" s="54"/>
      <c r="B33" s="54"/>
      <c r="C33" s="54"/>
      <c r="D33" s="54"/>
      <c r="E33" s="54"/>
      <c r="F33" s="54"/>
      <c r="G33" s="54"/>
      <c r="H33" s="54"/>
      <c r="I33" s="54"/>
      <c r="J33" s="54"/>
    </row>
    <row r="34" spans="1:10" ht="15">
      <c r="A34" s="1"/>
      <c r="B34" s="1"/>
      <c r="C34" s="1"/>
      <c r="D34" s="1"/>
      <c r="E34" s="1"/>
      <c r="F34" s="1"/>
      <c r="G34" s="1"/>
      <c r="H34" s="1"/>
      <c r="I34" s="1"/>
      <c r="J34" s="1"/>
    </row>
    <row r="35" spans="1:10" ht="15">
      <c r="A35" s="1"/>
      <c r="B35" s="1"/>
      <c r="C35" s="1"/>
      <c r="D35" s="1"/>
      <c r="E35" s="1"/>
      <c r="F35" s="1"/>
      <c r="G35" s="1"/>
      <c r="H35" s="1"/>
      <c r="I35" s="1"/>
      <c r="J35" s="1"/>
    </row>
    <row r="36" spans="1:10" ht="15">
      <c r="A36" s="1"/>
      <c r="B36" s="1"/>
      <c r="C36" s="1"/>
      <c r="D36" s="1"/>
      <c r="E36" s="1"/>
      <c r="F36" s="1"/>
      <c r="G36" s="1"/>
      <c r="H36" s="1"/>
      <c r="I36" s="1"/>
      <c r="J36" s="1"/>
    </row>
    <row r="37" spans="1:10" ht="15">
      <c r="A37" s="1"/>
      <c r="B37" s="1"/>
      <c r="C37" s="1"/>
      <c r="D37" s="1"/>
      <c r="E37" s="1"/>
      <c r="F37" s="1"/>
      <c r="G37" s="1"/>
      <c r="H37" s="1"/>
      <c r="I37" s="1"/>
      <c r="J37" s="1"/>
    </row>
    <row r="38" spans="1:10" ht="15">
      <c r="A38" s="1"/>
      <c r="B38" s="1"/>
      <c r="C38" s="1"/>
      <c r="D38" s="1"/>
      <c r="E38" s="1"/>
      <c r="F38" s="1"/>
      <c r="G38" s="1"/>
      <c r="H38" s="1"/>
      <c r="I38" s="1"/>
      <c r="J38" s="1"/>
    </row>
    <row r="39" spans="1:10" ht="15">
      <c r="A39" s="1"/>
      <c r="B39" s="1"/>
      <c r="C39" s="1"/>
      <c r="D39" s="1"/>
      <c r="E39" s="1"/>
      <c r="F39" s="1"/>
      <c r="G39" s="1"/>
      <c r="H39" s="1"/>
      <c r="I39" s="1"/>
      <c r="J39" s="1"/>
    </row>
  </sheetData>
  <sheetProtection/>
  <mergeCells count="1">
    <mergeCell ref="A1:J27"/>
  </mergeCells>
  <printOptions/>
  <pageMargins left="0.7" right="0.7" top="0.75" bottom="0.75" header="0.3" footer="0.3"/>
  <pageSetup horizontalDpi="600" verticalDpi="6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Storm Products,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 VLS™</dc:title>
  <dc:subject/>
  <dc:creator>Victor Marion</dc:creator>
  <cp:keywords>VLS</cp:keywords>
  <dc:description/>
  <cp:lastModifiedBy>Victor Marion</cp:lastModifiedBy>
  <dcterms:created xsi:type="dcterms:W3CDTF">2013-01-16T22:49:06Z</dcterms:created>
  <dcterms:modified xsi:type="dcterms:W3CDTF">2013-01-25T18:24:03Z</dcterms:modified>
  <cp:category>Layout System</cp:category>
  <cp:version/>
  <cp:contentType/>
  <cp:contentStatus/>
</cp:coreProperties>
</file>